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2023\AGA 21.06.2023\Material AGA Plan de investitii\Material AGA Plan de investitii\"/>
    </mc:Choice>
  </mc:AlternateContent>
  <xr:revisionPtr revIDLastSave="0" documentId="13_ncr:1_{B52F069B-3C8D-4DE1-BBF9-6CBD70BC707E}" xr6:coauthVersionLast="47" xr6:coauthVersionMax="47" xr10:uidLastSave="{00000000-0000-0000-0000-000000000000}"/>
  <bookViews>
    <workbookView xWindow="-108" yWindow="-108" windowWidth="23256" windowHeight="12576" activeTab="2" xr2:uid="{3F3E7C07-9E94-4B7F-8DC6-1BB375317507}"/>
  </bookViews>
  <sheets>
    <sheet name="plan de investitii" sheetId="1" r:id="rId1"/>
    <sheet name="investitii in derulare" sheetId="2" r:id="rId2"/>
    <sheet name="Investitii total" sheetId="3" r:id="rId3"/>
  </sheets>
  <definedNames>
    <definedName name="_xlnm.Print_Area" localSheetId="1">'investitii in derulare'!$B$2:$U$29</definedName>
    <definedName name="_xlnm.Print_Area" localSheetId="0">'plan de investitii'!$A$1:$W$137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9" i="3" l="1"/>
  <c r="H69" i="3"/>
  <c r="G69" i="3"/>
  <c r="F69" i="3"/>
  <c r="E69" i="3"/>
  <c r="D69" i="3"/>
  <c r="C69" i="3"/>
  <c r="I61" i="3"/>
  <c r="H61" i="3"/>
  <c r="G61" i="3"/>
  <c r="F61" i="3"/>
  <c r="E61" i="3"/>
  <c r="D61" i="3"/>
  <c r="C61" i="3"/>
  <c r="I53" i="3"/>
  <c r="H53" i="3"/>
  <c r="G53" i="3"/>
  <c r="F53" i="3"/>
  <c r="E53" i="3"/>
  <c r="D53" i="3"/>
  <c r="C53" i="3"/>
  <c r="I45" i="3"/>
  <c r="H45" i="3"/>
  <c r="G45" i="3"/>
  <c r="F45" i="3"/>
  <c r="E45" i="3"/>
  <c r="D45" i="3"/>
  <c r="C45" i="3"/>
  <c r="I37" i="3"/>
  <c r="H37" i="3"/>
  <c r="G37" i="3"/>
  <c r="F37" i="3"/>
  <c r="E37" i="3"/>
  <c r="D37" i="3"/>
  <c r="C37" i="3"/>
  <c r="I27" i="3"/>
  <c r="H27" i="3"/>
  <c r="G27" i="3"/>
  <c r="F27" i="3"/>
  <c r="E27" i="3"/>
  <c r="D27" i="3"/>
  <c r="C27" i="3"/>
  <c r="I26" i="3"/>
  <c r="H26" i="3"/>
  <c r="G26" i="3"/>
  <c r="F26" i="3"/>
  <c r="E26" i="3"/>
  <c r="D26" i="3"/>
  <c r="C26" i="3"/>
  <c r="I25" i="3"/>
  <c r="H25" i="3"/>
  <c r="G25" i="3"/>
  <c r="F25" i="3"/>
  <c r="E25" i="3"/>
  <c r="D25" i="3"/>
  <c r="C25" i="3"/>
  <c r="I24" i="3"/>
  <c r="H24" i="3"/>
  <c r="G24" i="3"/>
  <c r="F24" i="3"/>
  <c r="E24" i="3"/>
  <c r="D24" i="3"/>
  <c r="C24" i="3"/>
  <c r="I23" i="3"/>
  <c r="H23" i="3"/>
  <c r="G23" i="3"/>
  <c r="F23" i="3"/>
  <c r="E23" i="3"/>
  <c r="D23" i="3"/>
  <c r="C23" i="3"/>
  <c r="I22" i="3"/>
  <c r="I28" i="3" s="1"/>
  <c r="I71" i="3" s="1"/>
  <c r="H22" i="3"/>
  <c r="H28" i="3" s="1"/>
  <c r="H71" i="3" s="1"/>
  <c r="G22" i="3"/>
  <c r="G28" i="3" s="1"/>
  <c r="G71" i="3" s="1"/>
  <c r="F22" i="3"/>
  <c r="F28" i="3" s="1"/>
  <c r="F71" i="3" s="1"/>
  <c r="E22" i="3"/>
  <c r="E28" i="3" s="1"/>
  <c r="E71" i="3" s="1"/>
  <c r="D22" i="3"/>
  <c r="D28" i="3" s="1"/>
  <c r="D71" i="3" s="1"/>
  <c r="C22" i="3"/>
  <c r="C28" i="3" s="1"/>
  <c r="C71" i="3" s="1"/>
  <c r="I19" i="3"/>
  <c r="H19" i="3"/>
  <c r="G19" i="3"/>
  <c r="F19" i="3"/>
  <c r="E19" i="3"/>
  <c r="D19" i="3"/>
  <c r="C19" i="3"/>
  <c r="I10" i="3"/>
  <c r="H10" i="3"/>
  <c r="G10" i="3"/>
  <c r="F10" i="3"/>
  <c r="E10" i="3"/>
  <c r="D10" i="3"/>
  <c r="C10" i="3"/>
  <c r="U42" i="2"/>
  <c r="T42" i="2"/>
  <c r="S42" i="2"/>
  <c r="U41" i="2"/>
  <c r="T41" i="2"/>
  <c r="S41" i="2"/>
  <c r="U40" i="2"/>
  <c r="U38" i="2"/>
  <c r="T38" i="2"/>
  <c r="S38" i="2"/>
  <c r="R38" i="2"/>
  <c r="Q38" i="2"/>
  <c r="U37" i="2"/>
  <c r="T37" i="2"/>
  <c r="S37" i="2"/>
  <c r="R37" i="2"/>
  <c r="U29" i="2"/>
  <c r="T29" i="2"/>
  <c r="S29" i="2"/>
  <c r="U27" i="2"/>
  <c r="T27" i="2"/>
  <c r="S27" i="2"/>
  <c r="R27" i="2"/>
  <c r="Q27" i="2"/>
  <c r="Q23" i="2"/>
  <c r="E23" i="2"/>
  <c r="G21" i="2"/>
  <c r="Q20" i="2"/>
  <c r="G20" i="2"/>
  <c r="G19" i="2"/>
  <c r="S18" i="2"/>
  <c r="Q18" i="2"/>
  <c r="G18" i="2"/>
  <c r="Q17" i="2"/>
  <c r="G17" i="2"/>
  <c r="E17" i="2"/>
  <c r="Q16" i="2"/>
  <c r="G16" i="2"/>
  <c r="Q15" i="2"/>
  <c r="G15" i="2"/>
  <c r="E15" i="2"/>
  <c r="U14" i="2"/>
  <c r="T14" i="2"/>
  <c r="S14" i="2"/>
  <c r="R14" i="2"/>
  <c r="Q14" i="2"/>
  <c r="G14" i="2"/>
  <c r="Q13" i="2"/>
  <c r="G13" i="2"/>
  <c r="R12" i="2"/>
  <c r="R42" i="2" s="1"/>
  <c r="Q12" i="2"/>
  <c r="Q41" i="2" s="1"/>
  <c r="G12" i="2"/>
  <c r="R11" i="2"/>
  <c r="R40" i="2" s="1"/>
  <c r="Q11" i="2"/>
  <c r="G11" i="2"/>
  <c r="T10" i="2"/>
  <c r="T40" i="2" s="1"/>
  <c r="S10" i="2"/>
  <c r="S40" i="2" s="1"/>
  <c r="Q10" i="2"/>
  <c r="G10" i="2"/>
  <c r="Q9" i="2"/>
  <c r="Q37" i="2" s="1"/>
  <c r="G9" i="2"/>
  <c r="Q8" i="2"/>
  <c r="Q42" i="2" s="1"/>
  <c r="Q7" i="2"/>
  <c r="Q40" i="2" s="1"/>
  <c r="G7" i="2"/>
  <c r="U6" i="2"/>
  <c r="U28" i="2" s="1"/>
  <c r="T6" i="2"/>
  <c r="T28" i="2" s="1"/>
  <c r="S6" i="2"/>
  <c r="S28" i="2" s="1"/>
  <c r="R6" i="2"/>
  <c r="Q6" i="2"/>
  <c r="G6" i="2"/>
  <c r="R5" i="2"/>
  <c r="R39" i="2" s="1"/>
  <c r="Q5" i="2"/>
  <c r="Q39" i="2" s="1"/>
  <c r="G5" i="2"/>
  <c r="X194" i="1"/>
  <c r="X198" i="1" s="1"/>
  <c r="W194" i="1"/>
  <c r="W198" i="1" s="1"/>
  <c r="V194" i="1"/>
  <c r="V198" i="1" s="1"/>
  <c r="U194" i="1"/>
  <c r="U198" i="1" s="1"/>
  <c r="T194" i="1"/>
  <c r="T198" i="1" s="1"/>
  <c r="S194" i="1"/>
  <c r="S198" i="1" s="1"/>
  <c r="R194" i="1"/>
  <c r="R198" i="1" s="1"/>
  <c r="W190" i="1"/>
  <c r="X187" i="1"/>
  <c r="W187" i="1"/>
  <c r="V187" i="1"/>
  <c r="V190" i="1" s="1"/>
  <c r="U187" i="1"/>
  <c r="T187" i="1"/>
  <c r="S187" i="1"/>
  <c r="R187" i="1"/>
  <c r="X186" i="1"/>
  <c r="X190" i="1" s="1"/>
  <c r="W186" i="1"/>
  <c r="V186" i="1"/>
  <c r="U186" i="1"/>
  <c r="U190" i="1" s="1"/>
  <c r="T186" i="1"/>
  <c r="T190" i="1" s="1"/>
  <c r="S186" i="1"/>
  <c r="S190" i="1" s="1"/>
  <c r="R186" i="1"/>
  <c r="R190" i="1" s="1"/>
  <c r="T182" i="1"/>
  <c r="X179" i="1"/>
  <c r="W179" i="1"/>
  <c r="V179" i="1"/>
  <c r="U179" i="1"/>
  <c r="T179" i="1"/>
  <c r="S179" i="1"/>
  <c r="S182" i="1" s="1"/>
  <c r="R179" i="1"/>
  <c r="X178" i="1"/>
  <c r="X182" i="1" s="1"/>
  <c r="W178" i="1"/>
  <c r="W182" i="1" s="1"/>
  <c r="V178" i="1"/>
  <c r="V182" i="1" s="1"/>
  <c r="U178" i="1"/>
  <c r="U182" i="1" s="1"/>
  <c r="T178" i="1"/>
  <c r="S178" i="1"/>
  <c r="R178" i="1"/>
  <c r="R182" i="1" s="1"/>
  <c r="S173" i="1"/>
  <c r="R173" i="1"/>
  <c r="X172" i="1"/>
  <c r="W172" i="1"/>
  <c r="V172" i="1"/>
  <c r="U172" i="1"/>
  <c r="T172" i="1"/>
  <c r="S172" i="1"/>
  <c r="R172" i="1"/>
  <c r="S171" i="1"/>
  <c r="R171" i="1"/>
  <c r="S170" i="1"/>
  <c r="R170" i="1"/>
  <c r="S169" i="1"/>
  <c r="R169" i="1"/>
  <c r="S168" i="1"/>
  <c r="S174" i="1" s="1"/>
  <c r="R168" i="1"/>
  <c r="R174" i="1" s="1"/>
  <c r="R166" i="1"/>
  <c r="X161" i="1"/>
  <c r="W161" i="1"/>
  <c r="V161" i="1"/>
  <c r="U161" i="1"/>
  <c r="T161" i="1"/>
  <c r="S161" i="1"/>
  <c r="R161" i="1"/>
  <c r="X160" i="1"/>
  <c r="X166" i="1" s="1"/>
  <c r="W160" i="1"/>
  <c r="W166" i="1" s="1"/>
  <c r="V160" i="1"/>
  <c r="V166" i="1" s="1"/>
  <c r="U160" i="1"/>
  <c r="U166" i="1" s="1"/>
  <c r="T160" i="1"/>
  <c r="T166" i="1" s="1"/>
  <c r="S160" i="1"/>
  <c r="S166" i="1" s="1"/>
  <c r="R160" i="1"/>
  <c r="W158" i="1"/>
  <c r="X157" i="1"/>
  <c r="W157" i="1"/>
  <c r="X156" i="1"/>
  <c r="W156" i="1"/>
  <c r="V156" i="1"/>
  <c r="U156" i="1"/>
  <c r="T156" i="1"/>
  <c r="S156" i="1"/>
  <c r="R156" i="1"/>
  <c r="X155" i="1"/>
  <c r="W155" i="1"/>
  <c r="V155" i="1"/>
  <c r="U155" i="1"/>
  <c r="T155" i="1"/>
  <c r="S155" i="1"/>
  <c r="X154" i="1"/>
  <c r="W154" i="1"/>
  <c r="V154" i="1"/>
  <c r="X153" i="1"/>
  <c r="W153" i="1"/>
  <c r="V153" i="1"/>
  <c r="U153" i="1"/>
  <c r="T153" i="1"/>
  <c r="S153" i="1"/>
  <c r="X152" i="1"/>
  <c r="X158" i="1" s="1"/>
  <c r="W152" i="1"/>
  <c r="S140" i="1"/>
  <c r="S145" i="1" s="1"/>
  <c r="R140" i="1"/>
  <c r="R145" i="1" s="1"/>
  <c r="V139" i="1"/>
  <c r="V144" i="1" s="1"/>
  <c r="X134" i="1"/>
  <c r="W134" i="1"/>
  <c r="H133" i="1"/>
  <c r="G133" i="1"/>
  <c r="H132" i="1"/>
  <c r="G132" i="1"/>
  <c r="X131" i="1"/>
  <c r="W131" i="1"/>
  <c r="V131" i="1"/>
  <c r="V140" i="1" s="1"/>
  <c r="U131" i="1"/>
  <c r="U140" i="1" s="1"/>
  <c r="T131" i="1"/>
  <c r="H131" i="1" s="1"/>
  <c r="X130" i="1"/>
  <c r="W130" i="1"/>
  <c r="V130" i="1"/>
  <c r="U130" i="1"/>
  <c r="T130" i="1"/>
  <c r="H130" i="1" s="1"/>
  <c r="E130" i="1"/>
  <c r="X129" i="1"/>
  <c r="W129" i="1"/>
  <c r="V129" i="1"/>
  <c r="U129" i="1"/>
  <c r="T129" i="1"/>
  <c r="H129" i="1" s="1"/>
  <c r="V128" i="1"/>
  <c r="V157" i="1" s="1"/>
  <c r="U128" i="1"/>
  <c r="U157" i="1" s="1"/>
  <c r="T128" i="1"/>
  <c r="T157" i="1" s="1"/>
  <c r="S128" i="1"/>
  <c r="S157" i="1" s="1"/>
  <c r="R128" i="1"/>
  <c r="G128" i="1" s="1"/>
  <c r="H128" i="1"/>
  <c r="E128" i="1"/>
  <c r="X127" i="1"/>
  <c r="X173" i="1" s="1"/>
  <c r="W127" i="1"/>
  <c r="W173" i="1" s="1"/>
  <c r="V127" i="1"/>
  <c r="V173" i="1" s="1"/>
  <c r="U127" i="1"/>
  <c r="U173" i="1" s="1"/>
  <c r="T127" i="1"/>
  <c r="G127" i="1" s="1"/>
  <c r="H127" i="1"/>
  <c r="E127" i="1"/>
  <c r="R126" i="1"/>
  <c r="R157" i="1" s="1"/>
  <c r="H126" i="1"/>
  <c r="S123" i="1"/>
  <c r="R123" i="1"/>
  <c r="V122" i="1"/>
  <c r="X120" i="1"/>
  <c r="W120" i="1"/>
  <c r="V120" i="1"/>
  <c r="V123" i="1" s="1"/>
  <c r="U120" i="1"/>
  <c r="F120" i="1" s="1"/>
  <c r="T120" i="1"/>
  <c r="E120" i="1"/>
  <c r="F118" i="1"/>
  <c r="E118" i="1"/>
  <c r="S117" i="1"/>
  <c r="S122" i="1" s="1"/>
  <c r="R117" i="1"/>
  <c r="E117" i="1" s="1"/>
  <c r="F117" i="1"/>
  <c r="X116" i="1"/>
  <c r="W116" i="1"/>
  <c r="V116" i="1"/>
  <c r="U116" i="1"/>
  <c r="E116" i="1" s="1"/>
  <c r="T116" i="1"/>
  <c r="F116" i="1" s="1"/>
  <c r="X115" i="1"/>
  <c r="W115" i="1"/>
  <c r="V115" i="1"/>
  <c r="U115" i="1"/>
  <c r="U123" i="1" s="1"/>
  <c r="T115" i="1"/>
  <c r="F115" i="1" s="1"/>
  <c r="X114" i="1"/>
  <c r="W114" i="1"/>
  <c r="V114" i="1"/>
  <c r="U114" i="1"/>
  <c r="T114" i="1"/>
  <c r="T123" i="1" s="1"/>
  <c r="X113" i="1"/>
  <c r="W113" i="1"/>
  <c r="V113" i="1"/>
  <c r="U113" i="1"/>
  <c r="T113" i="1"/>
  <c r="F113" i="1" s="1"/>
  <c r="X112" i="1"/>
  <c r="W112" i="1"/>
  <c r="V112" i="1"/>
  <c r="U112" i="1"/>
  <c r="T112" i="1"/>
  <c r="F112" i="1"/>
  <c r="E112" i="1"/>
  <c r="X111" i="1"/>
  <c r="W111" i="1"/>
  <c r="V111" i="1"/>
  <c r="U111" i="1"/>
  <c r="F111" i="1" s="1"/>
  <c r="T111" i="1"/>
  <c r="E111" i="1"/>
  <c r="X110" i="1"/>
  <c r="X121" i="1" s="1"/>
  <c r="W110" i="1"/>
  <c r="W171" i="1" s="1"/>
  <c r="V110" i="1"/>
  <c r="V171" i="1" s="1"/>
  <c r="U110" i="1"/>
  <c r="U171" i="1" s="1"/>
  <c r="T110" i="1"/>
  <c r="T171" i="1" s="1"/>
  <c r="U109" i="1"/>
  <c r="U122" i="1" s="1"/>
  <c r="T109" i="1"/>
  <c r="T122" i="1" s="1"/>
  <c r="S109" i="1"/>
  <c r="S154" i="1" s="1"/>
  <c r="X105" i="1"/>
  <c r="X170" i="1" s="1"/>
  <c r="W105" i="1"/>
  <c r="W121" i="1" s="1"/>
  <c r="V105" i="1"/>
  <c r="V121" i="1" s="1"/>
  <c r="U105" i="1"/>
  <c r="U170" i="1" s="1"/>
  <c r="T105" i="1"/>
  <c r="T170" i="1" s="1"/>
  <c r="R104" i="1"/>
  <c r="R122" i="1" s="1"/>
  <c r="F104" i="1"/>
  <c r="T101" i="1"/>
  <c r="S101" i="1"/>
  <c r="W100" i="1"/>
  <c r="V146" i="1" s="1"/>
  <c r="V100" i="1"/>
  <c r="U146" i="1" s="1"/>
  <c r="U100" i="1"/>
  <c r="T146" i="1" s="1"/>
  <c r="T100" i="1"/>
  <c r="S146" i="1" s="1"/>
  <c r="S100" i="1"/>
  <c r="R146" i="1" s="1"/>
  <c r="W99" i="1"/>
  <c r="V99" i="1"/>
  <c r="U99" i="1"/>
  <c r="T99" i="1"/>
  <c r="T97" i="1"/>
  <c r="I96" i="1"/>
  <c r="H96" i="1"/>
  <c r="Y95" i="1"/>
  <c r="X95" i="1"/>
  <c r="W95" i="1"/>
  <c r="V95" i="1"/>
  <c r="U95" i="1"/>
  <c r="I95" i="1" s="1"/>
  <c r="Y94" i="1"/>
  <c r="X94" i="1"/>
  <c r="W94" i="1"/>
  <c r="I94" i="1" s="1"/>
  <c r="V94" i="1"/>
  <c r="U94" i="1"/>
  <c r="H94" i="1" s="1"/>
  <c r="F94" i="1"/>
  <c r="Y93" i="1"/>
  <c r="X93" i="1"/>
  <c r="W93" i="1"/>
  <c r="I93" i="1" s="1"/>
  <c r="V93" i="1"/>
  <c r="U93" i="1"/>
  <c r="H93" i="1" s="1"/>
  <c r="Y92" i="1"/>
  <c r="X92" i="1"/>
  <c r="W92" i="1"/>
  <c r="V92" i="1"/>
  <c r="H92" i="1" s="1"/>
  <c r="U92" i="1"/>
  <c r="I92" i="1" s="1"/>
  <c r="I91" i="1"/>
  <c r="H91" i="1"/>
  <c r="Y90" i="1"/>
  <c r="X90" i="1"/>
  <c r="W90" i="1"/>
  <c r="I90" i="1" s="1"/>
  <c r="V90" i="1"/>
  <c r="U90" i="1"/>
  <c r="H90" i="1" s="1"/>
  <c r="I89" i="1"/>
  <c r="H89" i="1"/>
  <c r="Y88" i="1"/>
  <c r="X88" i="1"/>
  <c r="W88" i="1"/>
  <c r="V88" i="1"/>
  <c r="U88" i="1"/>
  <c r="I88" i="1" s="1"/>
  <c r="Y87" i="1"/>
  <c r="X87" i="1"/>
  <c r="I87" i="1" s="1"/>
  <c r="W87" i="1"/>
  <c r="V87" i="1"/>
  <c r="U87" i="1"/>
  <c r="H87" i="1" s="1"/>
  <c r="Y86" i="1"/>
  <c r="X86" i="1"/>
  <c r="W86" i="1"/>
  <c r="H86" i="1" s="1"/>
  <c r="V86" i="1"/>
  <c r="U86" i="1"/>
  <c r="I86" i="1" s="1"/>
  <c r="Y85" i="1"/>
  <c r="X85" i="1"/>
  <c r="W85" i="1"/>
  <c r="V85" i="1"/>
  <c r="V101" i="1" s="1"/>
  <c r="U85" i="1"/>
  <c r="U101" i="1" s="1"/>
  <c r="S84" i="1"/>
  <c r="S99" i="1" s="1"/>
  <c r="I83" i="1"/>
  <c r="H83" i="1"/>
  <c r="S82" i="1"/>
  <c r="I82" i="1"/>
  <c r="H82" i="1"/>
  <c r="I81" i="1"/>
  <c r="H81" i="1"/>
  <c r="S80" i="1"/>
  <c r="I80" i="1"/>
  <c r="H80" i="1"/>
  <c r="I79" i="1"/>
  <c r="H79" i="1"/>
  <c r="Y78" i="1"/>
  <c r="X78" i="1"/>
  <c r="W78" i="1"/>
  <c r="V78" i="1"/>
  <c r="U78" i="1"/>
  <c r="I78" i="1" s="1"/>
  <c r="S77" i="1"/>
  <c r="R153" i="1" s="1"/>
  <c r="I77" i="1"/>
  <c r="H77" i="1"/>
  <c r="I76" i="1"/>
  <c r="H76" i="1"/>
  <c r="Y75" i="1"/>
  <c r="X75" i="1"/>
  <c r="I75" i="1" s="1"/>
  <c r="W75" i="1"/>
  <c r="V75" i="1"/>
  <c r="U75" i="1"/>
  <c r="H75" i="1" s="1"/>
  <c r="F75" i="1"/>
  <c r="Y74" i="1"/>
  <c r="X74" i="1"/>
  <c r="I74" i="1" s="1"/>
  <c r="W74" i="1"/>
  <c r="V74" i="1"/>
  <c r="U74" i="1"/>
  <c r="H74" i="1" s="1"/>
  <c r="Y73" i="1"/>
  <c r="X169" i="1" s="1"/>
  <c r="X73" i="1"/>
  <c r="W169" i="1" s="1"/>
  <c r="W73" i="1"/>
  <c r="W97" i="1" s="1"/>
  <c r="V73" i="1"/>
  <c r="V97" i="1" s="1"/>
  <c r="U73" i="1"/>
  <c r="T169" i="1" s="1"/>
  <c r="S68" i="1"/>
  <c r="R68" i="1"/>
  <c r="V63" i="1"/>
  <c r="V67" i="1" s="1"/>
  <c r="T63" i="1"/>
  <c r="H63" i="1" s="1"/>
  <c r="R63" i="1"/>
  <c r="R67" i="1" s="1"/>
  <c r="G63" i="1"/>
  <c r="H62" i="1"/>
  <c r="G62" i="1"/>
  <c r="H61" i="1"/>
  <c r="G61" i="1"/>
  <c r="H60" i="1"/>
  <c r="G60" i="1"/>
  <c r="X59" i="1"/>
  <c r="W59" i="1"/>
  <c r="V59" i="1"/>
  <c r="V68" i="1" s="1"/>
  <c r="U59" i="1"/>
  <c r="U68" i="1" s="1"/>
  <c r="T59" i="1"/>
  <c r="T68" i="1" s="1"/>
  <c r="H59" i="1"/>
  <c r="H58" i="1"/>
  <c r="G58" i="1"/>
  <c r="X57" i="1"/>
  <c r="W57" i="1"/>
  <c r="V57" i="1"/>
  <c r="U57" i="1"/>
  <c r="T57" i="1"/>
  <c r="H57" i="1" s="1"/>
  <c r="X56" i="1"/>
  <c r="W56" i="1"/>
  <c r="V56" i="1"/>
  <c r="U56" i="1"/>
  <c r="T56" i="1"/>
  <c r="G56" i="1" s="1"/>
  <c r="H56" i="1"/>
  <c r="X55" i="1"/>
  <c r="W55" i="1"/>
  <c r="V55" i="1"/>
  <c r="U55" i="1"/>
  <c r="T55" i="1"/>
  <c r="H55" i="1"/>
  <c r="G55" i="1"/>
  <c r="H54" i="1"/>
  <c r="G54" i="1"/>
  <c r="X53" i="1"/>
  <c r="W53" i="1"/>
  <c r="V53" i="1"/>
  <c r="U53" i="1"/>
  <c r="T53" i="1"/>
  <c r="G53" i="1" s="1"/>
  <c r="H53" i="1"/>
  <c r="X52" i="1"/>
  <c r="W52" i="1"/>
  <c r="V52" i="1"/>
  <c r="U52" i="1"/>
  <c r="T52" i="1"/>
  <c r="H52" i="1"/>
  <c r="G52" i="1"/>
  <c r="E52" i="1"/>
  <c r="X51" i="1"/>
  <c r="W51" i="1"/>
  <c r="V51" i="1"/>
  <c r="U51" i="1"/>
  <c r="T51" i="1"/>
  <c r="H51" i="1"/>
  <c r="G51" i="1"/>
  <c r="X50" i="1"/>
  <c r="W50" i="1"/>
  <c r="V50" i="1"/>
  <c r="U50" i="1"/>
  <c r="T50" i="1"/>
  <c r="H50" i="1" s="1"/>
  <c r="G50" i="1"/>
  <c r="E50" i="1"/>
  <c r="H49" i="1"/>
  <c r="G49" i="1"/>
  <c r="H48" i="1"/>
  <c r="G48" i="1"/>
  <c r="X47" i="1"/>
  <c r="W47" i="1"/>
  <c r="V47" i="1"/>
  <c r="U47" i="1"/>
  <c r="T47" i="1"/>
  <c r="H47" i="1" s="1"/>
  <c r="X46" i="1"/>
  <c r="W46" i="1"/>
  <c r="V46" i="1"/>
  <c r="U46" i="1"/>
  <c r="T46" i="1"/>
  <c r="H46" i="1" s="1"/>
  <c r="H45" i="1"/>
  <c r="G45" i="1"/>
  <c r="X44" i="1"/>
  <c r="W44" i="1"/>
  <c r="V44" i="1"/>
  <c r="U44" i="1"/>
  <c r="T44" i="1"/>
  <c r="H44" i="1" s="1"/>
  <c r="X43" i="1"/>
  <c r="W43" i="1"/>
  <c r="V43" i="1"/>
  <c r="U43" i="1"/>
  <c r="T43" i="1"/>
  <c r="H43" i="1" s="1"/>
  <c r="X42" i="1"/>
  <c r="W42" i="1"/>
  <c r="V42" i="1"/>
  <c r="U42" i="1"/>
  <c r="T42" i="1"/>
  <c r="G42" i="1" s="1"/>
  <c r="H42" i="1"/>
  <c r="H41" i="1"/>
  <c r="G41" i="1"/>
  <c r="X40" i="1"/>
  <c r="W40" i="1"/>
  <c r="V40" i="1"/>
  <c r="U40" i="1"/>
  <c r="T40" i="1"/>
  <c r="H40" i="1" s="1"/>
  <c r="X39" i="1"/>
  <c r="W39" i="1"/>
  <c r="V39" i="1"/>
  <c r="U39" i="1"/>
  <c r="T39" i="1"/>
  <c r="G39" i="1" s="1"/>
  <c r="H39" i="1"/>
  <c r="X38" i="1"/>
  <c r="W38" i="1"/>
  <c r="V38" i="1"/>
  <c r="U38" i="1"/>
  <c r="T38" i="1"/>
  <c r="H38" i="1"/>
  <c r="G38" i="1"/>
  <c r="X37" i="1"/>
  <c r="W37" i="1"/>
  <c r="V37" i="1"/>
  <c r="U37" i="1"/>
  <c r="T37" i="1"/>
  <c r="H37" i="1" s="1"/>
  <c r="G37" i="1"/>
  <c r="X36" i="1"/>
  <c r="W36" i="1"/>
  <c r="V36" i="1"/>
  <c r="U36" i="1"/>
  <c r="T36" i="1"/>
  <c r="H36" i="1" s="1"/>
  <c r="X35" i="1"/>
  <c r="W35" i="1"/>
  <c r="V35" i="1"/>
  <c r="H35" i="1" s="1"/>
  <c r="U35" i="1"/>
  <c r="T35" i="1"/>
  <c r="G35" i="1" s="1"/>
  <c r="X34" i="1"/>
  <c r="W34" i="1"/>
  <c r="V34" i="1"/>
  <c r="U34" i="1"/>
  <c r="H34" i="1" s="1"/>
  <c r="T34" i="1"/>
  <c r="X33" i="1"/>
  <c r="W33" i="1"/>
  <c r="V33" i="1"/>
  <c r="U33" i="1"/>
  <c r="T33" i="1"/>
  <c r="H33" i="1" s="1"/>
  <c r="X32" i="1"/>
  <c r="W32" i="1"/>
  <c r="V32" i="1"/>
  <c r="U32" i="1"/>
  <c r="T32" i="1"/>
  <c r="H32" i="1" s="1"/>
  <c r="X31" i="1"/>
  <c r="W31" i="1"/>
  <c r="V31" i="1"/>
  <c r="U31" i="1"/>
  <c r="T31" i="1"/>
  <c r="G31" i="1" s="1"/>
  <c r="H31" i="1"/>
  <c r="X30" i="1"/>
  <c r="W30" i="1"/>
  <c r="V30" i="1"/>
  <c r="U30" i="1"/>
  <c r="T30" i="1"/>
  <c r="H30" i="1"/>
  <c r="G30" i="1"/>
  <c r="X29" i="1"/>
  <c r="W29" i="1"/>
  <c r="V29" i="1"/>
  <c r="U29" i="1"/>
  <c r="T29" i="1"/>
  <c r="H29" i="1" s="1"/>
  <c r="G29" i="1"/>
  <c r="X28" i="1"/>
  <c r="W28" i="1"/>
  <c r="V28" i="1"/>
  <c r="U28" i="1"/>
  <c r="T28" i="1"/>
  <c r="H28" i="1" s="1"/>
  <c r="X27" i="1"/>
  <c r="W27" i="1"/>
  <c r="V27" i="1"/>
  <c r="H27" i="1" s="1"/>
  <c r="U27" i="1"/>
  <c r="T27" i="1"/>
  <c r="G27" i="1" s="1"/>
  <c r="X26" i="1"/>
  <c r="W26" i="1"/>
  <c r="V26" i="1"/>
  <c r="U26" i="1"/>
  <c r="H26" i="1" s="1"/>
  <c r="T26" i="1"/>
  <c r="X25" i="1"/>
  <c r="W25" i="1"/>
  <c r="V25" i="1"/>
  <c r="U25" i="1"/>
  <c r="T25" i="1"/>
  <c r="H25" i="1" s="1"/>
  <c r="X24" i="1"/>
  <c r="W24" i="1"/>
  <c r="V24" i="1"/>
  <c r="U24" i="1"/>
  <c r="T24" i="1"/>
  <c r="H24" i="1" s="1"/>
  <c r="X23" i="1"/>
  <c r="W23" i="1"/>
  <c r="V23" i="1"/>
  <c r="U23" i="1"/>
  <c r="T23" i="1"/>
  <c r="G23" i="1" s="1"/>
  <c r="H23" i="1"/>
  <c r="X22" i="1"/>
  <c r="W22" i="1"/>
  <c r="V22" i="1"/>
  <c r="U22" i="1"/>
  <c r="T22" i="1"/>
  <c r="H22" i="1"/>
  <c r="G22" i="1"/>
  <c r="X21" i="1"/>
  <c r="W21" i="1"/>
  <c r="V21" i="1"/>
  <c r="U21" i="1"/>
  <c r="T21" i="1"/>
  <c r="H21" i="1" s="1"/>
  <c r="G21" i="1"/>
  <c r="X20" i="1"/>
  <c r="W20" i="1"/>
  <c r="V20" i="1"/>
  <c r="U20" i="1"/>
  <c r="T20" i="1"/>
  <c r="H20" i="1" s="1"/>
  <c r="X19" i="1"/>
  <c r="W19" i="1"/>
  <c r="V19" i="1"/>
  <c r="H19" i="1" s="1"/>
  <c r="U19" i="1"/>
  <c r="T19" i="1"/>
  <c r="G19" i="1" s="1"/>
  <c r="X18" i="1"/>
  <c r="W18" i="1"/>
  <c r="V18" i="1"/>
  <c r="U18" i="1"/>
  <c r="H18" i="1" s="1"/>
  <c r="T18" i="1"/>
  <c r="X17" i="1"/>
  <c r="W17" i="1"/>
  <c r="V17" i="1"/>
  <c r="U17" i="1"/>
  <c r="T17" i="1"/>
  <c r="H17" i="1" s="1"/>
  <c r="X16" i="1"/>
  <c r="W16" i="1"/>
  <c r="V16" i="1"/>
  <c r="U16" i="1"/>
  <c r="T16" i="1"/>
  <c r="H16" i="1" s="1"/>
  <c r="E16" i="1"/>
  <c r="X15" i="1"/>
  <c r="W15" i="1"/>
  <c r="V15" i="1"/>
  <c r="U15" i="1"/>
  <c r="T15" i="1"/>
  <c r="H15" i="1" s="1"/>
  <c r="X14" i="1"/>
  <c r="W14" i="1"/>
  <c r="V14" i="1"/>
  <c r="U14" i="1"/>
  <c r="T14" i="1"/>
  <c r="G14" i="1" s="1"/>
  <c r="H14" i="1"/>
  <c r="E14" i="1"/>
  <c r="H13" i="1"/>
  <c r="G13" i="1"/>
  <c r="X12" i="1"/>
  <c r="W12" i="1"/>
  <c r="V12" i="1"/>
  <c r="U12" i="1"/>
  <c r="T12" i="1"/>
  <c r="H12" i="1" s="1"/>
  <c r="V11" i="1"/>
  <c r="U11" i="1"/>
  <c r="U67" i="1" s="1"/>
  <c r="T11" i="1"/>
  <c r="S11" i="1"/>
  <c r="H11" i="1" s="1"/>
  <c r="R11" i="1"/>
  <c r="G11" i="1" s="1"/>
  <c r="E11" i="1"/>
  <c r="X10" i="1"/>
  <c r="W10" i="1"/>
  <c r="V10" i="1"/>
  <c r="U10" i="1"/>
  <c r="T10" i="1"/>
  <c r="H10" i="1" s="1"/>
  <c r="E10" i="1"/>
  <c r="X9" i="1"/>
  <c r="W9" i="1"/>
  <c r="V9" i="1"/>
  <c r="U9" i="1"/>
  <c r="T9" i="1"/>
  <c r="H9" i="1" s="1"/>
  <c r="V8" i="1"/>
  <c r="U8" i="1"/>
  <c r="T8" i="1"/>
  <c r="S8" i="1"/>
  <c r="H8" i="1"/>
  <c r="G8" i="1"/>
  <c r="V7" i="1"/>
  <c r="V152" i="1" s="1"/>
  <c r="U7" i="1"/>
  <c r="U152" i="1" s="1"/>
  <c r="T7" i="1"/>
  <c r="T152" i="1" s="1"/>
  <c r="S7" i="1"/>
  <c r="S64" i="1" s="1"/>
  <c r="R7" i="1"/>
  <c r="R64" i="1" s="1"/>
  <c r="G7" i="1"/>
  <c r="E7" i="1"/>
  <c r="X6" i="1"/>
  <c r="X64" i="1" s="1"/>
  <c r="W6" i="1"/>
  <c r="W64" i="1" s="1"/>
  <c r="V6" i="1"/>
  <c r="V64" i="1" s="1"/>
  <c r="U6" i="1"/>
  <c r="U64" i="1" s="1"/>
  <c r="T6" i="1"/>
  <c r="T64" i="1" s="1"/>
  <c r="G6" i="1"/>
  <c r="E6" i="1"/>
  <c r="S202" i="1" l="1"/>
  <c r="T158" i="1"/>
  <c r="Q43" i="2"/>
  <c r="V158" i="1"/>
  <c r="H134" i="1"/>
  <c r="X202" i="1"/>
  <c r="R43" i="2"/>
  <c r="U145" i="1"/>
  <c r="T43" i="2"/>
  <c r="H6" i="1"/>
  <c r="H7" i="1"/>
  <c r="G20" i="1"/>
  <c r="G28" i="1"/>
  <c r="G36" i="1"/>
  <c r="H84" i="1"/>
  <c r="H88" i="1"/>
  <c r="H95" i="1"/>
  <c r="X97" i="1"/>
  <c r="W202" i="1" s="1"/>
  <c r="W101" i="1"/>
  <c r="V145" i="1" s="1"/>
  <c r="V148" i="1" s="1"/>
  <c r="E110" i="1"/>
  <c r="R121" i="1"/>
  <c r="R152" i="1"/>
  <c r="T154" i="1"/>
  <c r="T168" i="1"/>
  <c r="U169" i="1"/>
  <c r="V170" i="1"/>
  <c r="Q24" i="2"/>
  <c r="Q29" i="2"/>
  <c r="S39" i="2"/>
  <c r="S43" i="2" s="1"/>
  <c r="S67" i="1"/>
  <c r="I84" i="1"/>
  <c r="Y97" i="1"/>
  <c r="E104" i="1"/>
  <c r="F110" i="1"/>
  <c r="S121" i="1"/>
  <c r="G126" i="1"/>
  <c r="R134" i="1"/>
  <c r="T140" i="1"/>
  <c r="T145" i="1" s="1"/>
  <c r="S152" i="1"/>
  <c r="S158" i="1" s="1"/>
  <c r="U154" i="1"/>
  <c r="U158" i="1" s="1"/>
  <c r="U168" i="1"/>
  <c r="U174" i="1" s="1"/>
  <c r="V169" i="1"/>
  <c r="W170" i="1"/>
  <c r="X171" i="1"/>
  <c r="R24" i="2"/>
  <c r="R31" i="2" s="1"/>
  <c r="R29" i="2"/>
  <c r="T39" i="2"/>
  <c r="R41" i="2"/>
  <c r="G18" i="1"/>
  <c r="G26" i="1"/>
  <c r="G34" i="1"/>
  <c r="T67" i="1"/>
  <c r="H73" i="1"/>
  <c r="T121" i="1"/>
  <c r="S134" i="1"/>
  <c r="R139" i="1"/>
  <c r="R144" i="1" s="1"/>
  <c r="R148" i="1" s="1"/>
  <c r="V168" i="1"/>
  <c r="V174" i="1" s="1"/>
  <c r="S24" i="2"/>
  <c r="U39" i="2"/>
  <c r="U43" i="2" s="1"/>
  <c r="G12" i="1"/>
  <c r="G17" i="1"/>
  <c r="G25" i="1"/>
  <c r="G33" i="1"/>
  <c r="G44" i="1"/>
  <c r="G47" i="1"/>
  <c r="I73" i="1"/>
  <c r="H85" i="1"/>
  <c r="S97" i="1"/>
  <c r="R202" i="1" s="1"/>
  <c r="E109" i="1"/>
  <c r="E115" i="1"/>
  <c r="U121" i="1"/>
  <c r="U202" i="1" s="1"/>
  <c r="G131" i="1"/>
  <c r="T134" i="1"/>
  <c r="T202" i="1" s="1"/>
  <c r="S139" i="1"/>
  <c r="S144" i="1" s="1"/>
  <c r="S148" i="1" s="1"/>
  <c r="W168" i="1"/>
  <c r="W174" i="1" s="1"/>
  <c r="T173" i="1"/>
  <c r="T24" i="2"/>
  <c r="T31" i="2" s="1"/>
  <c r="Q28" i="2"/>
  <c r="G9" i="1"/>
  <c r="F64" i="1" s="1"/>
  <c r="G10" i="1"/>
  <c r="G15" i="1"/>
  <c r="G16" i="1"/>
  <c r="G24" i="1"/>
  <c r="G32" i="1"/>
  <c r="G40" i="1"/>
  <c r="G43" i="1"/>
  <c r="G46" i="1"/>
  <c r="G57" i="1"/>
  <c r="I85" i="1"/>
  <c r="E105" i="1"/>
  <c r="F109" i="1"/>
  <c r="E114" i="1"/>
  <c r="G129" i="1"/>
  <c r="G130" i="1"/>
  <c r="U134" i="1"/>
  <c r="T139" i="1"/>
  <c r="X168" i="1"/>
  <c r="X174" i="1" s="1"/>
  <c r="U24" i="2"/>
  <c r="U31" i="2" s="1"/>
  <c r="R28" i="2"/>
  <c r="G59" i="1"/>
  <c r="H78" i="1"/>
  <c r="U97" i="1"/>
  <c r="F105" i="1"/>
  <c r="E113" i="1"/>
  <c r="F114" i="1"/>
  <c r="V134" i="1"/>
  <c r="V202" i="1" s="1"/>
  <c r="U139" i="1"/>
  <c r="U144" i="1" s="1"/>
  <c r="U148" i="1" s="1"/>
  <c r="R155" i="1"/>
  <c r="R154" i="1"/>
  <c r="T144" i="1" l="1"/>
  <c r="T148" i="1" s="1"/>
  <c r="R158" i="1"/>
  <c r="R199" i="1" s="1"/>
  <c r="G134" i="1"/>
  <c r="F134" i="1"/>
  <c r="Q31" i="2"/>
  <c r="Q35" i="2" s="1"/>
  <c r="R25" i="2"/>
  <c r="V30" i="2" s="1"/>
  <c r="H97" i="1"/>
  <c r="I97" i="1"/>
  <c r="S31" i="2"/>
  <c r="H64" i="1"/>
  <c r="E121" i="1"/>
  <c r="T174" i="1"/>
  <c r="F121" i="1"/>
  <c r="H139" i="1" s="1"/>
  <c r="F1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Popescu Radu </author>
  </authors>
  <commentList>
    <comment ref="D6" authorId="0" shapeId="0" xr:uid="{EDF9F9E6-483F-49F8-9781-7F29E279CC9F}">
      <text>
        <r>
          <rPr>
            <b/>
            <sz val="8"/>
            <color indexed="81"/>
            <rFont val="Tahoma"/>
          </rPr>
          <t>Popescu Radu :</t>
        </r>
        <r>
          <rPr>
            <sz val="8"/>
            <color indexed="81"/>
            <rFont val="Tahoma"/>
          </rPr>
          <t xml:space="preserve">
1. Aductiune apa tratata Uzina II - Ghiroc - Lipova (noua) 40,205 km
2. Aductiune apa tratata Front Nord - SSAA Simand (noua) 2,46 km
3. Reabilitare conducte de aductiune apa bruta - SAA Arad 12,962 km
4.Artera noua apa potabila Sofronea-Zimand Cuz (Sofronea) 4,039 km
5. Artera noua apa potabila Arad-Sanpaul (Sanpaul) 4,351 km
6. Inlocuire tronson artera apa potabila Sofronea-Sanpaul 0,676 km
7. Artera noua apa potabila Livada-Zimand Cuz (Zimand Cuz) 3,226 km
8.Artera apa potabila (nouă) (UAT Sagu) 4,644 km
9. Aductiune apa tratata Sagu-Cruceni (noua) (UAT Sagu) 3,181 km
10.Aductiune apa tratata Cruceni-Firiteaz (noua) (UAT Sagu) 6,851 km
11. Aductiune apa tratata  (noua) (UAT Sagu) la pozitia UAT Vinga 0,139 km 
12 Aducțiune apa tratata Pecica-Sederhat (nouă) (UAT Pecica) 7,251 km
13. Aducțiune apa tratata Sederhat-Turnu (nouă) (UAT Turnu) 7,928 km
14. Aductiune apa potabila noua STAP Buteni- GA Chisindia 5,208 km
15. Aductiune apa potabila noua GA Buteni - GA Barsa 8,226 km
16. Artera apa potabila Gurahont - Bontesti (inlocuire) 3,436 km
17. Reabilitare aductiune apa potabila SP Varfuri - GA Bodesti 2,233
18. Aductiune apa tratata Simand - Sanmartin (UAT Simand) 7,603
19 Aductiune apa tratata Sanmartin - Graniceri (UAT Graniceri) 7,525
20. Aductiune apa tratata Graniceri - Pilu (UAT Graniceri) 3,98
21 Aductiune apa tratata Graniceri - Siclau (UAT Graniceri) 4,74 km
22. Aductiune apa tratata Graniceri - Pilu (UAT Pilu) 5,44 km
23Aductiune apa tratata Apateu - Sepreus (UAT Apateu) 4,644
24. Aductiune apa tratata Apateu - Berechiu (UAT Apateu) 4,61 km
25. Aductiune apa tratata Berechiu - Somosches (UAT Apateu) 4,014
26 Aductiune apa tratata Apateu - Sepreus (UAT Apateu) 3,556
27. Aductiune apa tratata Berechiu - Somosches (UAT Cermei) 1,966
28 Aductiune apa tratata Somosches - Cermei (UAT Cermei) 4,876
29 Aductiune apa tratata Pancota - Siria (UAT Siria) 6,344
30. Aductiune apa tratata Maderat - Dud (UAT Tarnova) 2,5 km</t>
        </r>
      </text>
    </comment>
    <comment ref="D7" authorId="0" shapeId="0" xr:uid="{6C7071E2-39A4-4059-9EF7-4CA242D953F2}">
      <text>
        <r>
          <rPr>
            <b/>
            <sz val="8"/>
            <color indexed="81"/>
            <rFont val="Tahoma"/>
          </rPr>
          <t>Popescu Radu :</t>
        </r>
        <r>
          <rPr>
            <sz val="8"/>
            <color indexed="81"/>
            <rFont val="Tahoma"/>
          </rPr>
          <t xml:space="preserve">
1. + 2/3 din pozitia Executie foraje dirijate (Bocsig si Zimandul Nou) 3 buc
2. Extindere apa potabila intre UAT Livada si zona limitrofa UAT Zimandu Nou
3. Extindere retea apa Sanpaul, legatura cu mun. Arad. În sens giratoriu Poetului cu Teneţchi, 6 km - 120 eu/ml, 2026-2027
4. Reabilitare bransamente apa - 1200 buc, 8 km - 1.210.000 lei
5. Redimensionare conductă refulare Fantanele - Arad 3 km, 2.000.000 in 2025 si 2026
6. Reabilitare reţea apă şi branşamente com. Dieci, DN 125 mm, L=1800 m
7. + 1 mil. 2025, 1 mil 2026, 1,5 mil - 2027
8. +500.000 in 24, 25, 26, 27</t>
        </r>
      </text>
    </comment>
    <comment ref="D8" authorId="0" shapeId="0" xr:uid="{673CFEFC-1DD4-410C-911C-23899F343DE4}">
      <text>
        <r>
          <rPr>
            <b/>
            <sz val="8"/>
            <color indexed="81"/>
            <rFont val="Tahoma"/>
          </rPr>
          <t>Popescu Radu :</t>
        </r>
        <r>
          <rPr>
            <sz val="8"/>
            <color indexed="81"/>
            <rFont val="Tahoma"/>
          </rPr>
          <t xml:space="preserve">
1. Reabilitari foraje front captare NORD - 20 buc - 1.400.000 lei
2. Statie pompare noua pe aducţiune Vladimirescu - Ghioroc 1 buc 500.000 lei
3. Reabilitare statii dezinfectie 20 buc. - 1.300.000 lei
4. HALMAGIU
a.Rezervor 2023-2025
b. Marire captare 2026
c. Marire tratare 2027
5. Reabilitare rezervoare Uzina 2 2 x 90.000 euro/ buc</t>
        </r>
      </text>
    </comment>
    <comment ref="D9" authorId="0" shapeId="0" xr:uid="{50457BE6-6E91-44E9-985C-501A3CFBEA86}">
      <text>
        <r>
          <rPr>
            <b/>
            <sz val="8"/>
            <color indexed="81"/>
            <rFont val="Tahoma"/>
          </rPr>
          <t>Popescu Radu :</t>
        </r>
        <r>
          <rPr>
            <sz val="8"/>
            <color indexed="81"/>
            <rFont val="Tahoma"/>
          </rPr>
          <t xml:space="preserve">
Reabilitare captare sursa subterana Front Arad Nord - foraje SAA Arad - 24 buc
Statie de tratare Front Arad Nord (noua)
Reabilitare Uzina II Arad (dezinfectie, inmagazinare, pompare, SCADA)
Stație de pompare apa potabila (nouă) Sagu - Cruceni - Firiteaz 2 buc
Rezervor înmagazinare (nou) inclusiv statie de re-clorare (nouă) Sagu - Cruceni - Firiteaz 1 buc
Rezervor înmagazinare (nou) inclusiv statie de re-clorare (nouă) Sagu - Cruceni - Firiteaz 1 bc
Stație de pompare apa potabila (noua) Sagu - Cruceni - Firiteaz 1 bc
Statii de pompare apa potabila catre GA Barsa si GA Chisindia 2 bc
Reabilitare statie de pompare catre Varfuri (GA Bodesti)
Gospodarie noua de apa GA Bodesti
Gospodaria de apa Dud - Tarnova (rezervor, electroclorare)
</t>
        </r>
      </text>
    </comment>
    <comment ref="D10" authorId="0" shapeId="0" xr:uid="{08C2B311-F1AA-46B4-835E-2157BE701E50}">
      <text>
        <r>
          <rPr>
            <b/>
            <sz val="8"/>
            <color indexed="81"/>
            <rFont val="Tahoma"/>
          </rPr>
          <t>Popescu Radu :</t>
        </r>
        <r>
          <rPr>
            <sz val="8"/>
            <color indexed="81"/>
            <rFont val="Tahoma"/>
          </rPr>
          <t xml:space="preserve">
Rețea de distribuție apă potabilă si artere catre subsisteme (noua) 13,853 km
Conducte de bransament (noi) 4,938
Bransamente (noi) 822 buc
Rețea de distribuție apă potabilă (inlocuiri + reconfigurari) 69,767 km
Conducte de bransament (inlocuiri) 17,947 km
Bransamente (inlocuiri) 3491 buc
</t>
        </r>
      </text>
    </comment>
    <comment ref="D11" authorId="0" shapeId="0" xr:uid="{AA94C348-90FB-4286-8A80-9B0EBF82DBF4}">
      <text>
        <r>
          <rPr>
            <b/>
            <sz val="8"/>
            <color indexed="81"/>
            <rFont val="Tahoma"/>
          </rPr>
          <t>Popescu Radu :</t>
        </r>
        <r>
          <rPr>
            <sz val="8"/>
            <color indexed="81"/>
            <rFont val="Tahoma"/>
          </rPr>
          <t xml:space="preserve">
1. Reabilitare reţea apă supratraversare rău Mureş, Pod Cetate DN 1000, 0,5 km, 500 eu/ml
2. Reabilitare bransamente apa - 500 buc, 3,5 km - 483.000 lei
3. Reabilitare reţea înaltă presiune municipiul Arad, zona Z-uri - Aurel Vlaicu - strada Fulgerului PE HD PN 16 DN 160 mm, 700 ml
4. Reabilitare retea intaltă presiune municipiul Arad, str. Zalău - Sighisoara, 0,7 km, 89.000 euro in 2024
5. Reabilitare retea inalta presiune str. Miorita - Voinicilor 1 km, 120 eu/ml = 120.000 euro in 2025 si 2026
6, Reabilitare strada 6 vanaroti Azbo DN 300 1,2 km , 120 euro_ml =144.000 euro in 2026 si 2027
7. Reabiliare Calea Radnei de la str. Lermontov pana la str. Siriei - Aybo DN 200 - 1,2 km = 144.000 euro, in 2025 si 2026
8. Relocare conductp apă zona I. Maniu - Revolutiei, bloc, P3-P4, DN 600 - 500.000 lei, in 2026, 0,2 km
9. +2 mil in 2027 </t>
        </r>
      </text>
    </comment>
    <comment ref="D12" authorId="0" shapeId="0" xr:uid="{3B9751E9-0B47-456D-8102-F356A3EA3223}">
      <text>
        <r>
          <rPr>
            <b/>
            <sz val="8"/>
            <color indexed="81"/>
            <rFont val="Tahoma"/>
          </rPr>
          <t>Popescu Radu :</t>
        </r>
        <r>
          <rPr>
            <sz val="8"/>
            <color indexed="81"/>
            <rFont val="Tahoma"/>
          </rPr>
          <t xml:space="preserve">
Reabilitare Uzina III Arad (dezinfectie, inmagazinare, pompare, SCADA) 1 buc
Reabilitare Uzina I Arad (dezinfectie, inmagazinare, pompare, SCADA regional) 1 buc
Statii noi de pompare apa potabila 21 buc
Statii existente de pompare apa potabila - completare 10 buc
</t>
        </r>
      </text>
    </comment>
    <comment ref="D13" authorId="0" shapeId="0" xr:uid="{757DEBD5-120E-498C-9B04-72D3799ECD47}">
      <text>
        <r>
          <rPr>
            <b/>
            <sz val="8"/>
            <color indexed="81"/>
            <rFont val="Tahoma"/>
          </rPr>
          <t>Popescu Radu :</t>
        </r>
        <r>
          <rPr>
            <sz val="8"/>
            <color indexed="81"/>
            <rFont val="Tahoma"/>
          </rPr>
          <t xml:space="preserve">
1. Reabilitare rezervoare Uzina 3  - 3 buc x 90000 eu/buc. - 2026/2027</t>
        </r>
      </text>
    </comment>
    <comment ref="D14" authorId="0" shapeId="0" xr:uid="{D969D46A-B82D-484A-BFD5-AB37F8FA02C9}">
      <text>
        <r>
          <rPr>
            <b/>
            <sz val="8"/>
            <color indexed="81"/>
            <rFont val="Tahoma"/>
          </rPr>
          <t>Popescu Radu :</t>
        </r>
        <r>
          <rPr>
            <sz val="8"/>
            <color indexed="81"/>
            <rFont val="Tahoma"/>
          </rPr>
          <t xml:space="preserve">
Rețea de distribuție apă potabilă (nouă) - Lipova 4,66 km 
Conducte de bransament (noi)  - Lipova - 1,036 km
Bransamente (noi) - Lipova - 148 buv
Rețea de distribuție apă potabilă (nouă) - Radna - 0,547 km
Conducte de bransament (noi) - Radna - 0,119 km
Bransamente (noi) - Radna 17 buc
Rețea de distribuție apă potabilă (nouă) - Soimos - 9,382 km
Conducte de bransament (noi) - Soimos - 2,072 km
Bransamente (noi) - Soimos - 341 buc
Sisteme de control si operare retele
</t>
        </r>
      </text>
    </comment>
    <comment ref="D15" authorId="0" shapeId="0" xr:uid="{3AB9990E-DA11-420D-88CB-A4FC3E9F7840}">
      <text>
        <r>
          <rPr>
            <b/>
            <sz val="8"/>
            <color indexed="81"/>
            <rFont val="Tahoma"/>
          </rPr>
          <t>Popescu Radu :</t>
        </r>
        <r>
          <rPr>
            <sz val="8"/>
            <color indexed="81"/>
            <rFont val="Tahoma"/>
          </rPr>
          <t xml:space="preserve">
Complex de înmagazinare-pompare (extindere) inclusiv statie de clor (nouă) 1 buc
Stație de pompare apa potabila (noua) 1 buc
</t>
        </r>
      </text>
    </comment>
    <comment ref="D16" authorId="0" shapeId="0" xr:uid="{03293B61-4494-4276-9F5A-163A3DD0A70D}">
      <text>
        <r>
          <rPr>
            <b/>
            <sz val="8"/>
            <color indexed="81"/>
            <rFont val="Tahoma"/>
          </rPr>
          <t>Popescu Radu :</t>
        </r>
        <r>
          <rPr>
            <sz val="8"/>
            <color indexed="81"/>
            <rFont val="Tahoma"/>
          </rPr>
          <t xml:space="preserve">
Rețea de distribuție apă potabilă (nouă)
Conducte de bransament (noi)
Camine de bransament (noi)
Hidranti
Camine de vane
Rețea de distribuție apă potabilă (inlocuiri)
Conducte de bransament (inlocuiri)
Bransamente (inlocuiri)
Hidranti
Camine de vane
Sisteme de control si operare retele
Rețea de distribuție apă potabilă (nouă)
Conducte de bransament (noi)
Camine de bransament (noi)
Camine de vane
Sisteme de control si operare retele
Rețea de distribuție apă potabilă (nouă)
Conducte de bransament (noi)
Camine de bransament (noi)
Hidranti
Camine de vane
Sisteme de control si operare retele
Total retea Pecica = 41,923 km</t>
        </r>
      </text>
    </comment>
    <comment ref="D17" authorId="0" shapeId="0" xr:uid="{279F865B-43AE-401D-B3B7-DA4C947E1DF7}">
      <text>
        <r>
          <rPr>
            <b/>
            <sz val="8"/>
            <color indexed="81"/>
            <rFont val="Tahoma"/>
          </rPr>
          <t>Popescu Radu :</t>
        </r>
        <r>
          <rPr>
            <sz val="8"/>
            <color indexed="81"/>
            <rFont val="Tahoma"/>
          </rPr>
          <t xml:space="preserve">
Front de captare (foraje - reabilitare)
Front de captare (foraje - noi)
Stație tratare apă (nouă)
Rezervor înmagazinare (nou)
Stație de pompare apa potabila (noua)
Stație de pompare apa potabila (reabilitare)
UAT Pecica)
Rezervor înmagazinare (nou) inclusiv statie de re-clorare (nouă)
Stație de pompare apa potabila (noua)
Rețea de distribuție apă potabilă (nouă)
Rezervor înmagazinare (nou) inclusiv statie de re-clorare (nouă)
Stație de pompare apa potabila (noua)
</t>
        </r>
      </text>
    </comment>
    <comment ref="D18" authorId="0" shapeId="0" xr:uid="{3AA5EA8C-F7F9-4FB2-927D-BA8D92840134}">
      <text>
        <r>
          <rPr>
            <b/>
            <sz val="8"/>
            <color indexed="81"/>
            <rFont val="Tahoma"/>
          </rPr>
          <t>Popescu Radu :</t>
        </r>
        <r>
          <rPr>
            <sz val="8"/>
            <color indexed="81"/>
            <rFont val="Tahoma"/>
          </rPr>
          <t xml:space="preserve">
Rețea de distribuție apă potabilă (nouă)
Conducte de bransament (noi)
Camine de bransament (noi)
Hidranti
Camine de vane
Sisteme de control si operare retele
</t>
        </r>
      </text>
    </comment>
    <comment ref="D19" authorId="0" shapeId="0" xr:uid="{6A8F11D7-CA51-44D5-B4AB-4836B1CCF8FF}">
      <text>
        <r>
          <rPr>
            <b/>
            <sz val="8"/>
            <color indexed="81"/>
            <rFont val="Tahoma"/>
          </rPr>
          <t>Popescu Radu :</t>
        </r>
        <r>
          <rPr>
            <sz val="8"/>
            <color indexed="81"/>
            <rFont val="Tahoma"/>
          </rPr>
          <t xml:space="preserve">
Front de captare (foraje - reabilitare)
Stație tratare apă (reabilitată)
</t>
        </r>
      </text>
    </comment>
    <comment ref="D20" authorId="0" shapeId="0" xr:uid="{22BA7761-E06E-48B8-B9E7-8C9D70D6BE8B}">
      <text>
        <r>
          <rPr>
            <b/>
            <sz val="8"/>
            <color indexed="81"/>
            <rFont val="Tahoma"/>
          </rPr>
          <t>Popescu Radu :</t>
        </r>
        <r>
          <rPr>
            <sz val="8"/>
            <color indexed="81"/>
            <rFont val="Tahoma"/>
          </rPr>
          <t xml:space="preserve">
Aductiuni apa bruta
Aductiune apa potabila noua STAP Buteni- GA Buteni
Tpta; 3,828 km</t>
        </r>
      </text>
    </comment>
    <comment ref="D21" authorId="0" shapeId="0" xr:uid="{388B4DDA-3B34-416B-BA90-AE303AF17407}">
      <text>
        <r>
          <rPr>
            <b/>
            <sz val="8"/>
            <color indexed="81"/>
            <rFont val="Tahoma"/>
          </rPr>
          <t>Popescu Radu :</t>
        </r>
        <r>
          <rPr>
            <sz val="8"/>
            <color indexed="81"/>
            <rFont val="Tahoma"/>
          </rPr>
          <t xml:space="preserve">
Front de captare Buteni
Statie de tratare noua
Statie de pompare apa potabila catre GA Buteni
Gospodarie de apa Buteni
</t>
        </r>
      </text>
    </comment>
    <comment ref="D22" authorId="0" shapeId="0" xr:uid="{D72B0277-1AC3-4D58-997F-9B9BBC4E2774}">
      <text>
        <r>
          <rPr>
            <b/>
            <sz val="8"/>
            <color indexed="81"/>
            <rFont val="Tahoma"/>
          </rPr>
          <t>Popescu Radu :</t>
        </r>
        <r>
          <rPr>
            <sz val="8"/>
            <color indexed="81"/>
            <rFont val="Tahoma"/>
          </rPr>
          <t xml:space="preserve">
Castel de apa (modernizare) 1 bc
Rezervor înmagazinare (nou) inclusiv statie de re-clorare (nouă) 1 bc
Stație de pompare apa potabila (reabilitare) 1 bc
</t>
        </r>
      </text>
    </comment>
    <comment ref="D23" authorId="0" shapeId="0" xr:uid="{E7A38F95-CCBD-4840-AF0F-91B11782CFEE}">
      <text>
        <r>
          <rPr>
            <b/>
            <sz val="8"/>
            <color indexed="81"/>
            <rFont val="Tahoma"/>
          </rPr>
          <t>Popescu Radu :</t>
        </r>
        <r>
          <rPr>
            <sz val="8"/>
            <color indexed="81"/>
            <rFont val="Tahoma"/>
          </rPr>
          <t xml:space="preserve">
Reabilitare conducte de aductiune apa bruta
Rețea de distribuție apă potabilă (noua)
Conducte de bransament (noi)
Bransamente (noi)
Conducte de aductiune apa potabila (noi)
</t>
        </r>
      </text>
    </comment>
    <comment ref="D24" authorId="0" shapeId="0" xr:uid="{4D1B8441-6124-43F6-9360-C688F6DBC22D}">
      <text>
        <r>
          <rPr>
            <b/>
            <sz val="8"/>
            <color indexed="81"/>
            <rFont val="Tahoma"/>
          </rPr>
          <t>Gospodarie de apa Gurahont
Statii de pompare apa tratata
Gospodarie de apa Iosas
Reabilitare si extindere front captare</t>
        </r>
      </text>
    </comment>
    <comment ref="D25" authorId="0" shapeId="0" xr:uid="{373833BF-DD74-436B-A7DA-60E6B6F6AF00}">
      <text>
        <r>
          <rPr>
            <b/>
            <sz val="8"/>
            <color indexed="81"/>
            <rFont val="Tahoma"/>
          </rPr>
          <t>Popescu Radu :</t>
        </r>
        <r>
          <rPr>
            <sz val="8"/>
            <color indexed="81"/>
            <rFont val="Tahoma"/>
          </rPr>
          <t xml:space="preserve">
Conducte de aductiune apa potabila (noi)
Conducte de aductiune apa potabila (noi)
Conducte de aductiune apa potabila (noi)</t>
        </r>
      </text>
    </comment>
    <comment ref="D26" authorId="0" shapeId="0" xr:uid="{63A1774D-FE89-47CD-9293-1E8075091B86}">
      <text>
        <r>
          <rPr>
            <b/>
            <sz val="8"/>
            <color indexed="81"/>
            <rFont val="Tahoma"/>
          </rPr>
          <t xml:space="preserve">Gospodarie de apa Brazii
Statii de pompare apa potabila
Gospodarie de apa Buceava-Soimus
Gospodarie de apa Iacobini
Statii de pompare apa potabila 
Gospodarie de apa Secas
</t>
        </r>
      </text>
    </comment>
    <comment ref="D27" authorId="0" shapeId="0" xr:uid="{7F3A65E3-690A-4A77-89BA-B1D4FFAC0849}">
      <text>
        <r>
          <rPr>
            <b/>
            <sz val="8"/>
            <color indexed="81"/>
            <rFont val="Tahoma"/>
          </rPr>
          <t xml:space="preserve">
Rețea de distribuție apă potabilă (noua)
Conducte de bransament (noi)
Bransamente (noi)
Rețea de distribuție apă potabilă (inlocuiri)
Conducte de bransament (inlocuiri)
Bransamente (inlocuiri)
</t>
        </r>
      </text>
    </comment>
    <comment ref="D28" authorId="0" shapeId="0" xr:uid="{29BD4AF8-EBEE-42B9-AC37-9109644213E4}">
      <text>
        <r>
          <rPr>
            <b/>
            <sz val="8"/>
            <color indexed="81"/>
            <rFont val="Tahoma"/>
          </rPr>
          <t xml:space="preserve">Captare noua Halmagel
Reabilitare statie de tratare Halmagel
Reabilitare Gospodarie de apa Halmagel
SCADA
</t>
        </r>
      </text>
    </comment>
    <comment ref="D29" authorId="0" shapeId="0" xr:uid="{4B1E99D1-7510-4F13-8161-1CCB4D24F0C4}">
      <text>
        <r>
          <rPr>
            <b/>
            <sz val="8"/>
            <color indexed="81"/>
            <rFont val="Tahoma"/>
          </rPr>
          <t xml:space="preserve">
Reabilitare conducta de aductiune apa bruta
Rețea de distribuție apă potabilă (noua)
Conducte de bransament (noi)
Bransamente (noi)
Rețea de distribuție apă potabilă (inlocuiri)
Conducte de bransament (inlocuiri)
Bransamente (inlocuiri)
</t>
        </r>
      </text>
    </comment>
    <comment ref="D30" authorId="0" shapeId="0" xr:uid="{11C54857-0255-42C4-8A40-11B392D3E4C9}">
      <text>
        <r>
          <rPr>
            <b/>
            <sz val="8"/>
            <color indexed="81"/>
            <rFont val="Tahoma"/>
          </rPr>
          <t xml:space="preserve">Reabilitare si extindere captare Moneasa
Reabilitare statie de tratare Moneasa
Gospodarie de apa Moneasa
SCADA
SCADA - Statie de pompare cartier Delani
</t>
        </r>
      </text>
    </comment>
    <comment ref="D31" authorId="0" shapeId="0" xr:uid="{148D4E55-743A-4B01-90FC-AAA3765B3E13}">
      <text>
        <r>
          <rPr>
            <b/>
            <sz val="8"/>
            <color indexed="81"/>
            <rFont val="Tahoma"/>
          </rPr>
          <t>Popescu Radu :</t>
        </r>
        <r>
          <rPr>
            <sz val="8"/>
            <color indexed="81"/>
            <rFont val="Tahoma"/>
          </rPr>
          <t xml:space="preserve">
Rețea de distribuție apă potabilă (noua)
Conducte de bransament (noi)
Bransamente (noi)
Hidranti
Camine de vane
Sisteme de control si operare retele
</t>
        </r>
      </text>
    </comment>
    <comment ref="D32" authorId="0" shapeId="0" xr:uid="{B165F20C-C6F9-48F3-83B7-1F25BEE2A2E2}">
      <text>
        <r>
          <rPr>
            <b/>
            <sz val="8"/>
            <color indexed="81"/>
            <rFont val="Tahoma"/>
          </rPr>
          <t xml:space="preserve">
Gospodarie de apa (rezervor, statie de pompare, electroclorare)
</t>
        </r>
      </text>
    </comment>
    <comment ref="D33" authorId="0" shapeId="0" xr:uid="{F87BCA00-D1A4-4C61-9DFE-271C830688D1}">
      <text>
        <r>
          <rPr>
            <b/>
            <sz val="8"/>
            <color indexed="81"/>
            <rFont val="Tahoma"/>
          </rPr>
          <t xml:space="preserve">Rețea de distribuție apă potabilă (noua)
Conducte de bransament (noi)
Bransamente (noi)
Hidranti
Camine de vane
Rețea de distribuție apă potabilă (inlocuiri)
Conducte de bransament (inlocuiri)
Bransamente (inlocuiri)
Hidranti
Camine de vane
Sisteme de control si operare retele
Rețea de distribuție apă potabilă (noua)
Conducte de bransament (noi)
Bransamente (noi)
Hidranti
Camine de vane
Rețea de distribuție apă potabilă (inlocuiri)
Conducte de bransament (inlocuiri)
Bransamente (inlocuiri)
Hidranti
Camine de vane
Sisteme de control si operare retele
</t>
        </r>
        <r>
          <rPr>
            <sz val="8"/>
            <color indexed="81"/>
            <rFont val="Tahoma"/>
          </rPr>
          <t xml:space="preserve">
</t>
        </r>
      </text>
    </comment>
    <comment ref="D34" authorId="0" shapeId="0" xr:uid="{01845F4B-D2B7-436D-BD78-CF0581E4BDCF}">
      <text>
        <r>
          <rPr>
            <b/>
            <sz val="8"/>
            <color indexed="81"/>
            <rFont val="Tahoma"/>
          </rPr>
          <t xml:space="preserve">
Gospodarie de apa (rezervor, statie de pompare, electroclorare) 2 bc
</t>
        </r>
      </text>
    </comment>
    <comment ref="D35" authorId="0" shapeId="0" xr:uid="{B5BE35ED-4252-44C1-BB0D-C9676A33FC5C}">
      <text>
        <r>
          <rPr>
            <b/>
            <sz val="8"/>
            <color indexed="81"/>
            <rFont val="Tahoma"/>
          </rPr>
          <t xml:space="preserve">Rețea de distribuție apă potabilă (noua)
Conducte de bransament (noi)
Bransamente (noi)
Hidranti
Camine de vane
Sisteme de control si operare retele
</t>
        </r>
        <r>
          <rPr>
            <sz val="8"/>
            <color indexed="81"/>
            <rFont val="Tahoma"/>
          </rPr>
          <t xml:space="preserve">
</t>
        </r>
      </text>
    </comment>
    <comment ref="D36" authorId="0" shapeId="0" xr:uid="{9ED6D875-A0CA-43B6-9123-AE5658C54AB8}">
      <text>
        <r>
          <rPr>
            <b/>
            <sz val="8"/>
            <color indexed="81"/>
            <rFont val="Tahoma"/>
          </rPr>
          <t xml:space="preserve">
Gospodarie de apa (rezervor, statie de pompare, electroclorare)
</t>
        </r>
      </text>
    </comment>
    <comment ref="D37" authorId="0" shapeId="0" xr:uid="{3AC1D7DC-2DE7-4380-AC62-925FAF1B8457}">
      <text>
        <r>
          <rPr>
            <b/>
            <sz val="8"/>
            <color indexed="81"/>
            <rFont val="Tahoma"/>
          </rPr>
          <t xml:space="preserve">Rețea de distribuție apă potabilă (noua)
Conducte de bransament (noi)
Bransamente (noi)
Hidranti
Camine de vane
Sisteme de control si operare retele
</t>
        </r>
        <r>
          <rPr>
            <sz val="8"/>
            <color indexed="81"/>
            <rFont val="Tahoma"/>
          </rPr>
          <t xml:space="preserve">
</t>
        </r>
      </text>
    </comment>
    <comment ref="D38" authorId="0" shapeId="0" xr:uid="{D6B3B198-D239-4BDB-91D5-7F63812C5A42}">
      <text>
        <r>
          <rPr>
            <b/>
            <sz val="8"/>
            <color indexed="81"/>
            <rFont val="Tahoma"/>
          </rPr>
          <t xml:space="preserve">
Gospodarie de apa (rezervor, statie de pompare, electroclorare) 2 bc
</t>
        </r>
      </text>
    </comment>
    <comment ref="D39" authorId="0" shapeId="0" xr:uid="{0C28F6F4-2D9E-4FBC-8758-C3F43960D95B}">
      <text>
        <r>
          <rPr>
            <b/>
            <sz val="8"/>
            <color indexed="81"/>
            <rFont val="Tahoma"/>
          </rPr>
          <t xml:space="preserve">Rețea de distribuție apă potabilă (noua)
Conducte de bransament (noi)
Bransamente (noi)
Hidranti
Camine de vane
Sisteme de control si operare retele
</t>
        </r>
        <r>
          <rPr>
            <sz val="8"/>
            <color indexed="81"/>
            <rFont val="Tahoma"/>
          </rPr>
          <t xml:space="preserve">
</t>
        </r>
      </text>
    </comment>
    <comment ref="D40" authorId="0" shapeId="0" xr:uid="{34E48A2C-CD8E-44E6-8234-3CDCC0DC668E}">
      <text>
        <r>
          <rPr>
            <b/>
            <sz val="8"/>
            <color indexed="81"/>
            <rFont val="Tahoma"/>
          </rPr>
          <t xml:space="preserve">
Gospodarie de apa (rezervor, statie de pompare, ) 
Reabilitare rezervor existent
</t>
        </r>
      </text>
    </comment>
    <comment ref="D41" authorId="0" shapeId="0" xr:uid="{0FD7B7B9-F714-4CA1-AF8B-C0D3FE982130}">
      <text>
        <r>
          <rPr>
            <b/>
            <sz val="8"/>
            <color indexed="81"/>
            <rFont val="Tahoma"/>
          </rPr>
          <t>Popescu Radu :</t>
        </r>
        <r>
          <rPr>
            <sz val="8"/>
            <color indexed="81"/>
            <rFont val="Tahoma"/>
          </rPr>
          <t xml:space="preserve">
1 Mărire capacitate tratare + inmagazinare Uzina de apă Pâncota</t>
        </r>
      </text>
    </comment>
    <comment ref="D42" authorId="0" shapeId="0" xr:uid="{F2C14069-2AD9-41AF-96FE-69D8F1CD5B65}">
      <text>
        <r>
          <rPr>
            <b/>
            <sz val="8"/>
            <color indexed="81"/>
            <rFont val="Tahoma"/>
          </rPr>
          <t xml:space="preserve">Rețea de distribuție apă potabilă (noua)
Conducte de bransament (noi)
Bransamente (noi)
Hidranti
Camine de vane
Sisteme de control si operare retele
</t>
        </r>
      </text>
    </comment>
    <comment ref="D43" authorId="0" shapeId="0" xr:uid="{2EAE5ABF-7211-4811-A4B2-7844A436CD60}">
      <text>
        <r>
          <rPr>
            <b/>
            <sz val="8"/>
            <color indexed="81"/>
            <rFont val="Tahoma"/>
          </rPr>
          <t xml:space="preserve">Captare apa bruta
Statie de tratare
Gospodarie de apa (statie de pompare)
Statie de pompare
Gospodarie de apa
</t>
        </r>
      </text>
    </comment>
    <comment ref="D44" authorId="0" shapeId="0" xr:uid="{FAD54C07-E0C9-4CC9-8518-83903326DB7D}">
      <text>
        <r>
          <rPr>
            <b/>
            <sz val="8"/>
            <color indexed="81"/>
            <rFont val="Tahoma"/>
          </rPr>
          <t>Popescu Radu :</t>
        </r>
        <r>
          <rPr>
            <sz val="8"/>
            <color indexed="81"/>
            <rFont val="Tahoma"/>
          </rPr>
          <t xml:space="preserve">
Statie de repompare
Rezervor nou
Statie de pompare
</t>
        </r>
      </text>
    </comment>
    <comment ref="D46" authorId="0" shapeId="0" xr:uid="{06B2A8AE-8D05-4B38-97EB-ED1BD7D2FEC4}">
      <text>
        <r>
          <rPr>
            <b/>
            <sz val="8"/>
            <color indexed="81"/>
            <rFont val="Tahoma"/>
          </rPr>
          <t xml:space="preserve">Aductiuni apa tratata Beliu (UAT Bocsig)
Rețea de distribuție apă potabilă (noua)
Conducte de bransament (noi)
Bransamente (noi)
Hidranti
Camine de vane
Sisteme de control si operare retele
</t>
        </r>
      </text>
    </comment>
    <comment ref="D47" authorId="0" shapeId="0" xr:uid="{172C886E-FC72-4B60-B01E-981DC065C3C9}">
      <text>
        <r>
          <rPr>
            <b/>
            <sz val="8"/>
            <color indexed="81"/>
            <rFont val="Tahoma"/>
          </rPr>
          <t xml:space="preserve">Captare apa bruta
Statie de tratare
Gospodarie de apa (rezervor, statii de pompare)
Gospodarie de apa (rezervor, statie de pompare)
</t>
        </r>
      </text>
    </comment>
    <comment ref="D48" authorId="0" shapeId="0" xr:uid="{7EE2F9B5-EEC2-40D0-B8E6-7B0D0B442789}">
      <text>
        <r>
          <rPr>
            <b/>
            <sz val="8"/>
            <color indexed="81"/>
            <rFont val="Tahoma"/>
          </rPr>
          <t>Popescu Radu :</t>
        </r>
        <r>
          <rPr>
            <sz val="8"/>
            <color indexed="81"/>
            <rFont val="Tahoma"/>
          </rPr>
          <t xml:space="preserve">
(Mărire capacitate tratare + inmagazinare Uzina de apă Bocsig)</t>
        </r>
      </text>
    </comment>
    <comment ref="D49" authorId="0" shapeId="0" xr:uid="{E4A0DD84-66E9-4077-9CCF-52AE73240884}">
      <text>
        <r>
          <rPr>
            <b/>
            <sz val="8"/>
            <color indexed="81"/>
            <rFont val="Tahoma"/>
          </rPr>
          <t>Popescu Radu :</t>
        </r>
        <r>
          <rPr>
            <sz val="8"/>
            <color indexed="81"/>
            <rFont val="Tahoma"/>
          </rPr>
          <t xml:space="preserve">
1. Program conformare Dalia - Depaşiri: Mangan, Fier, DSP - Realizare staţie de tratare apă - Estimare 2025</t>
        </r>
      </text>
    </comment>
    <comment ref="D50" authorId="0" shapeId="0" xr:uid="{86EE87AE-8DAF-4A9B-8E54-7912DDB45A1D}">
      <text>
        <r>
          <rPr>
            <b/>
            <sz val="8"/>
            <color indexed="81"/>
            <rFont val="Tahoma"/>
          </rPr>
          <t>Popescu Radu :</t>
        </r>
        <r>
          <rPr>
            <sz val="8"/>
            <color indexed="81"/>
            <rFont val="Tahoma"/>
          </rPr>
          <t xml:space="preserve">
1. retea distributie apa potabila noua 8,580 km
2. conducte bransament noi 1,610 km
3. bransamente noi 230 buc
4. sisteme de control si operare retele
</t>
        </r>
      </text>
    </comment>
    <comment ref="D51" authorId="0" shapeId="0" xr:uid="{C042CE79-4EDE-46F6-A24C-5C5B3B06546F}">
      <text>
        <r>
          <rPr>
            <b/>
            <sz val="8"/>
            <color indexed="81"/>
            <rFont val="Tahoma"/>
          </rPr>
          <t>Popescu Radu :</t>
        </r>
        <r>
          <rPr>
            <sz val="8"/>
            <color indexed="81"/>
            <rFont val="Tahoma"/>
          </rPr>
          <t xml:space="preserve">
1. sursa de ap din subteran (modernizare) 1 buc
2. rezervoir (nou)
3. statie clor noua
</t>
        </r>
      </text>
    </comment>
    <comment ref="D52" authorId="0" shapeId="0" xr:uid="{B5D5D754-ACF5-48B6-9AAF-09725FD484FA}">
      <text>
        <r>
          <rPr>
            <b/>
            <sz val="8"/>
            <color indexed="81"/>
            <rFont val="Tahoma"/>
          </rPr>
          <t>Popescu Radu :</t>
        </r>
        <r>
          <rPr>
            <sz val="8"/>
            <color indexed="81"/>
            <rFont val="Tahoma"/>
          </rPr>
          <t xml:space="preserve">
Rețea de distribuție apă potabilă (noua)
Conducte de bransament (noi)
Bransamente (noi)
Hidranti
Camine de vane
Sisteme de control si operare retele
Rețea de distribuție apă potabilă (noua)
Conducte de bransament (noi)
Bransamente (noi)
Hidranti
Camine de vane
Sisteme de control si operare retele
Rețea de distribuție apă potabilă (noua)
Conducte de bransament (noi)
Bransamente (noi)
Camine de vane
Sisteme de control si operare retele
</t>
        </r>
      </text>
    </comment>
    <comment ref="D53" authorId="0" shapeId="0" xr:uid="{E14F9967-22F6-439A-A4DB-08C2CF975CD5}">
      <text>
        <r>
          <rPr>
            <b/>
            <sz val="8"/>
            <color indexed="81"/>
            <rFont val="Tahoma"/>
          </rPr>
          <t>Popescu Radu :</t>
        </r>
        <r>
          <rPr>
            <sz val="8"/>
            <color indexed="81"/>
            <rFont val="Tahoma"/>
          </rPr>
          <t xml:space="preserve">
Captare apa bruta
Gospodarie de apa (rezervor, statie de pompare, electroclorare)
Gospodarie de apa (rezervor, statie de pompare)
</t>
        </r>
      </text>
    </comment>
    <comment ref="D54" authorId="0" shapeId="0" xr:uid="{5AB900A5-70E2-45A3-8EFF-098E13820244}">
      <text>
        <r>
          <rPr>
            <b/>
            <sz val="8"/>
            <color indexed="81"/>
            <rFont val="Tahoma"/>
          </rPr>
          <t>Popescu Radu :</t>
        </r>
        <r>
          <rPr>
            <sz val="8"/>
            <color indexed="81"/>
            <rFont val="Tahoma"/>
          </rPr>
          <t xml:space="preserve">
1. Program conformare Dalia - Depaşiri: Mangan, Arsen, DSP - Realizare staţie de tratare apă - Estimare 2025
(Realizare Staţie Tratare Apă)</t>
        </r>
      </text>
    </comment>
    <comment ref="D55" authorId="0" shapeId="0" xr:uid="{3BF4E73D-1E20-4D0B-9E56-446D18783165}">
      <text>
        <r>
          <rPr>
            <b/>
            <sz val="8"/>
            <color indexed="81"/>
            <rFont val="Tahoma"/>
          </rPr>
          <t xml:space="preserve">Rețea de distribuție apă potabilă (noua)
Conducte de bransament (noi)
Bransamente (noi)
Hidranti
Camine de vane
Sisteme de control si operare retele
</t>
        </r>
      </text>
    </comment>
    <comment ref="D56" authorId="0" shapeId="0" xr:uid="{4AB23DFC-90B5-461D-8669-871503DFD281}">
      <text>
        <r>
          <rPr>
            <b/>
            <sz val="8"/>
            <color indexed="81"/>
            <rFont val="Tahoma"/>
          </rPr>
          <t xml:space="preserve">Gospodarie de apa
</t>
        </r>
      </text>
    </comment>
    <comment ref="D57" authorId="0" shapeId="0" xr:uid="{B8DC7716-6B76-41F9-92F8-299042033338}">
      <text>
        <r>
          <rPr>
            <b/>
            <sz val="8"/>
            <color indexed="81"/>
            <rFont val="Tahoma"/>
          </rPr>
          <t>Popescu Radu :</t>
        </r>
        <r>
          <rPr>
            <sz val="8"/>
            <color indexed="81"/>
            <rFont val="Tahoma"/>
          </rPr>
          <t xml:space="preserve">
Front de captare
</t>
        </r>
      </text>
    </comment>
    <comment ref="D58" authorId="0" shapeId="0" xr:uid="{B6FAE8E3-B671-460A-A5E2-198576AB171F}">
      <text>
        <r>
          <rPr>
            <b/>
            <sz val="8"/>
            <color indexed="81"/>
            <rFont val="Tahoma"/>
          </rPr>
          <t>Popescu Radu :</t>
        </r>
        <r>
          <rPr>
            <sz val="8"/>
            <color indexed="81"/>
            <rFont val="Tahoma"/>
          </rPr>
          <t xml:space="preserve">
1. 1. Program conformare Dalia - Depaşiri:Fier, Mangan, Arsen, Amoniu, DSP - Realizare staţie de tratare apă - Estimare 2025 - reducere Fier, Mangan, Arsen, Amoniu</t>
        </r>
      </text>
    </comment>
    <comment ref="D59" authorId="0" shapeId="0" xr:uid="{898E0605-0EF7-450F-9505-D2C0A53945B4}">
      <text>
        <r>
          <rPr>
            <b/>
            <sz val="8"/>
            <color indexed="81"/>
            <rFont val="Tahoma"/>
          </rPr>
          <t>Popescu Radu :</t>
        </r>
        <r>
          <rPr>
            <sz val="8"/>
            <color indexed="81"/>
            <rFont val="Tahoma"/>
          </rPr>
          <t xml:space="preserve">
1. retea distributie apa potabila noua 1,98 km
Hidranti
Camine de vane
Hidranti
Camine de vane
</t>
        </r>
      </text>
    </comment>
    <comment ref="D60" authorId="0" shapeId="0" xr:uid="{F9F26C64-05CD-4CE1-A4F5-625B2E4E63AD}">
      <text>
        <r>
          <rPr>
            <b/>
            <sz val="8"/>
            <color indexed="81"/>
            <rFont val="Tahoma"/>
          </rPr>
          <t>Popescu Radu :</t>
        </r>
        <r>
          <rPr>
            <sz val="8"/>
            <color indexed="81"/>
            <rFont val="Tahoma"/>
          </rPr>
          <t xml:space="preserve">
1. Program conformare Dalia - Depaşiri:Azotati, DSP - - Estimare 2025
(Realizare si extindere complexe de înmagazinare / pompare Grăniceri)</t>
        </r>
      </text>
    </comment>
    <comment ref="D61" authorId="0" shapeId="0" xr:uid="{1A71FF84-D93B-4D3D-A2D7-C6CF6041D598}">
      <text>
        <r>
          <rPr>
            <b/>
            <sz val="8"/>
            <color indexed="81"/>
            <rFont val="Tahoma"/>
          </rPr>
          <t>Popescu Radu :</t>
        </r>
        <r>
          <rPr>
            <sz val="8"/>
            <color indexed="81"/>
            <rFont val="Tahoma"/>
          </rPr>
          <t xml:space="preserve">
1. Program conformare Dalia - Depaşiri:Fier Mangan, DSP  - Estimare 2025
(Realizare si extindere complexe de înmagazinare / pompare Siclau)</t>
        </r>
      </text>
    </comment>
    <comment ref="D62" authorId="0" shapeId="0" xr:uid="{E23E3D7C-4100-43A7-8370-CFE98E8A5C4E}">
      <text>
        <r>
          <rPr>
            <b/>
            <sz val="8"/>
            <color indexed="81"/>
            <rFont val="Tahoma"/>
          </rPr>
          <t>Popescu Radu :</t>
        </r>
        <r>
          <rPr>
            <sz val="8"/>
            <color indexed="81"/>
            <rFont val="Tahoma"/>
          </rPr>
          <t xml:space="preserve">
1. 1. Program conformare Dalia - Depaşiri:Azotati, DSP - - Estimare 2025</t>
        </r>
      </text>
    </comment>
    <comment ref="E73" authorId="0" shapeId="0" xr:uid="{AC2EBEED-C4A9-4000-BE85-33183D3CBE3D}">
      <text>
        <r>
          <rPr>
            <b/>
            <sz val="8"/>
            <color indexed="81"/>
            <rFont val="Tahoma"/>
          </rPr>
          <t>Popescu Radu :</t>
        </r>
        <r>
          <rPr>
            <sz val="8"/>
            <color indexed="81"/>
            <rFont val="Tahoma"/>
          </rPr>
          <t xml:space="preserve">
Rețea canalizare Mandruloc (nouă) 
Conducte de racord Mandruloc (noi)
Camine de racord Mandruloc (noi)
Refulare ape uzate menajere Mandruloc (nouă)
Rețea canalizare Cicir (nouă)
Conducte de racord Cicir (noi)
Camine de racord Cicir (noi)
Refulare ape uzate menajere Cicir (nouă)
Refulare ape uzate menajere Vladimirescu (nouă)
</t>
        </r>
      </text>
    </comment>
    <comment ref="E86" authorId="0" shapeId="0" xr:uid="{13526D3E-BB68-4C7E-8A32-92C69028678B}">
      <text>
        <r>
          <rPr>
            <b/>
            <sz val="8"/>
            <color indexed="81"/>
            <rFont val="Tahoma"/>
          </rPr>
          <t>Popescu Radu :</t>
        </r>
        <r>
          <rPr>
            <sz val="8"/>
            <color indexed="81"/>
            <rFont val="Tahoma"/>
          </rPr>
          <t xml:space="preserve">
Rețea canalizare (nouă)
Conducte de racord (noi)
Camine de racord (noi)
Refulare ape uzate menajere (nouă)
</t>
        </r>
      </text>
    </comment>
    <comment ref="E88" authorId="0" shapeId="0" xr:uid="{566D556E-9AC7-4FBA-886B-491E4E6EFFAD}">
      <text>
        <r>
          <rPr>
            <b/>
            <sz val="8"/>
            <color indexed="81"/>
            <rFont val="Tahoma"/>
          </rPr>
          <t>Popescu Radu :</t>
        </r>
        <r>
          <rPr>
            <sz val="8"/>
            <color indexed="81"/>
            <rFont val="Tahoma"/>
          </rPr>
          <t xml:space="preserve">
Rețea canalizare (nouă)
Conducte de racord (noi)
Camine de racord (noi)
Refulare ape uzate menajere (nouă)
</t>
        </r>
      </text>
    </comment>
    <comment ref="E89" authorId="0" shapeId="0" xr:uid="{6721A32A-6903-4A8F-AAEC-AD7B8FF60161}">
      <text>
        <r>
          <rPr>
            <b/>
            <sz val="8"/>
            <color indexed="81"/>
            <rFont val="Tahoma"/>
          </rPr>
          <t>Popescu Radu :</t>
        </r>
        <r>
          <rPr>
            <sz val="8"/>
            <color indexed="81"/>
            <rFont val="Tahoma"/>
          </rPr>
          <t xml:space="preserve">
Depasiri: Amoniu
. APM - Program de conformare autorizaţie mediu 79/07.06.2021 
Inlocuire echipamente la treapta de epurare mecanica si biologică în vederea aducerii staţiei la parametrii NTPA 001 şi optimizarea staţiei (senzori, electrovalve, etc). Termen:31.12.2025</t>
        </r>
      </text>
    </comment>
    <comment ref="E91" authorId="0" shapeId="0" xr:uid="{B41CBC55-4F2C-4456-B0BE-7F48A7ACBF68}">
      <text>
        <r>
          <rPr>
            <b/>
            <sz val="8"/>
            <color indexed="81"/>
            <rFont val="Tahoma"/>
          </rPr>
          <t>Popescu Radu :</t>
        </r>
        <r>
          <rPr>
            <sz val="8"/>
            <color indexed="81"/>
            <rFont val="Tahoma"/>
          </rPr>
          <t xml:space="preserve">
1. APM - Program de conformare autorizaţie mediu 79/07.06.2021 
Inlocuire echipamente la treapta de epurare mecanica si biologică în vederea aducerii staţiei la parametrii NTPA 001 şi optimizarea staţiei (senzori, electrovalve, etc). Termen:31.12.2025</t>
        </r>
      </text>
    </comment>
    <comment ref="E92" authorId="0" shapeId="0" xr:uid="{159E961D-36B6-4FDA-B302-3FA2B5A15EDB}">
      <text>
        <r>
          <rPr>
            <b/>
            <sz val="8"/>
            <color indexed="81"/>
            <rFont val="Tahoma"/>
          </rPr>
          <t>Popescu Radu :</t>
        </r>
        <r>
          <rPr>
            <sz val="8"/>
            <color indexed="81"/>
            <rFont val="Tahoma"/>
          </rPr>
          <t xml:space="preserve">
Rețea canalizare (nouă)
Conducte de racord (noi)
Camine de racord (noi)
Refulare ape uzate menajere (nouă)
</t>
        </r>
      </text>
    </comment>
    <comment ref="E93" authorId="0" shapeId="0" xr:uid="{743102D1-51AF-4557-85E6-6C198E4ED359}">
      <text>
        <r>
          <rPr>
            <b/>
            <sz val="8"/>
            <color indexed="81"/>
            <rFont val="Tahoma"/>
          </rPr>
          <t>Popescu Radu :</t>
        </r>
        <r>
          <rPr>
            <sz val="8"/>
            <color indexed="81"/>
            <rFont val="Tahoma"/>
          </rPr>
          <t xml:space="preserve">
Rețea canalizare (nouă)
Conducte de racord (noi)
Camine de racord (noi)
Refulare ape uzate menajere (nouă)
</t>
        </r>
      </text>
    </comment>
    <comment ref="E94" authorId="0" shapeId="0" xr:uid="{A59FDBB7-650C-41E9-A0DF-ACD2A3270282}">
      <text>
        <r>
          <rPr>
            <b/>
            <sz val="8"/>
            <color indexed="81"/>
            <rFont val="Tahoma"/>
          </rPr>
          <t>Popescu Radu :</t>
        </r>
        <r>
          <rPr>
            <sz val="8"/>
            <color indexed="81"/>
            <rFont val="Tahoma"/>
          </rPr>
          <t xml:space="preserve">
Rețea canalizare (nouă)
Conducte de racord (noi)
Camine de racord (noi)
Refulare ape uzate menajere (nouă)
</t>
        </r>
      </text>
    </comment>
    <comment ref="E95" authorId="0" shapeId="0" xr:uid="{344AD5E6-6CD8-45C0-BE79-16E4A4B51F18}">
      <text>
        <r>
          <rPr>
            <b/>
            <sz val="8"/>
            <color indexed="81"/>
            <rFont val="Tahoma"/>
          </rPr>
          <t>Popescu Radu :</t>
        </r>
        <r>
          <rPr>
            <sz val="8"/>
            <color indexed="81"/>
            <rFont val="Tahoma"/>
          </rPr>
          <t xml:space="preserve">
Rețea canalizare (nouă)
Conducte de racord (noi)
Camine de racord (noi)
Refulare ape uzate menajere (nouă) (UAT Nadlac)
Refulare ape uzate menajere (nouă)
</t>
        </r>
      </text>
    </comment>
    <comment ref="E96" authorId="0" shapeId="0" xr:uid="{7932DDB8-3E3C-47E6-9A70-646D04DA2E31}">
      <text>
        <r>
          <rPr>
            <b/>
            <sz val="8"/>
            <color indexed="81"/>
            <rFont val="Tahoma"/>
          </rPr>
          <t>Popescu Radu :</t>
        </r>
        <r>
          <rPr>
            <sz val="8"/>
            <color indexed="81"/>
            <rFont val="Tahoma"/>
          </rPr>
          <t xml:space="preserve">
1. Depasiri MTS, NH4 (amoniu), CBO5, CCOCr</t>
        </r>
      </text>
    </comment>
    <comment ref="D104" authorId="0" shapeId="0" xr:uid="{31AF1A03-1797-4D07-8949-BBB4C69B87FF}">
      <text>
        <r>
          <rPr>
            <b/>
            <sz val="8"/>
            <color indexed="81"/>
            <rFont val="Tahoma"/>
          </rPr>
          <t>Popescu Radu :</t>
        </r>
        <r>
          <rPr>
            <sz val="8"/>
            <color indexed="81"/>
            <rFont val="Tahoma"/>
          </rPr>
          <t xml:space="preserve">
1. Panou de comanda cu convertizor de frecvanta + montaj RI+ AI 4 buc in 2023
2. Automatizare Statie de Pompare Cruceni - 10000 lei
3. Panou de comanda cu convertizor de frecvanta + montaj RI+ AI 30 buc - 35000 lei-buc
4. Fibra optică front captare 10 km  1.880.000 cu tot cu pct 5
5. Server + Licenta 
nou rectificare
6. Automatizare SPAU 6
</t>
        </r>
      </text>
    </comment>
    <comment ref="D105" authorId="0" shapeId="0" xr:uid="{AE134CA4-C88E-496D-9600-A23FD50ACF55}">
      <text>
        <r>
          <rPr>
            <b/>
            <sz val="8"/>
            <color indexed="81"/>
            <rFont val="Tahoma"/>
          </rPr>
          <t>Popescu Radu :</t>
        </r>
        <r>
          <rPr>
            <sz val="8"/>
            <color indexed="81"/>
            <rFont val="Tahoma"/>
          </rPr>
          <t xml:space="preserve">
1. Sectorizare retea - DMA-uri, monitorizare si control presuni - 881 buc
</t>
        </r>
      </text>
    </comment>
    <comment ref="D109" authorId="0" shapeId="0" xr:uid="{03B22A48-6D88-4AA6-9986-E5CAEEEDE362}">
      <text>
        <r>
          <rPr>
            <b/>
            <sz val="8"/>
            <color indexed="81"/>
            <rFont val="Tahoma"/>
          </rPr>
          <t>Popescu Radu :</t>
        </r>
        <r>
          <rPr>
            <sz val="8"/>
            <color indexed="81"/>
            <rFont val="Tahoma"/>
          </rPr>
          <t xml:space="preserve">
1.Contorizare foraje 40 buc x 10000 buc + maopera
2. Contorizare UAT - 2.000.000
3. + 500000 in 25, 26, 27
nou rectificare
4. debitmetru by pass SE PECICA
</t>
        </r>
      </text>
    </comment>
    <comment ref="D110" authorId="0" shapeId="0" xr:uid="{1108D27D-7D56-4FBD-BEC2-435889770507}">
      <text>
        <r>
          <rPr>
            <b/>
            <sz val="8"/>
            <color indexed="81"/>
            <rFont val="Tahoma"/>
          </rPr>
          <t>Popescu Radu :</t>
        </r>
        <r>
          <rPr>
            <sz val="8"/>
            <color indexed="81"/>
            <rFont val="Tahoma"/>
          </rPr>
          <t xml:space="preserve">
Stație de pompare apă uzată (nouă) 9 bc
Stație de pompare apă uzată (reabilitata) 1 bc
Stație de pompare apă uzată (moderniz. SCADA ) 6 bc
</t>
        </r>
      </text>
    </comment>
    <comment ref="D111" authorId="0" shapeId="0" xr:uid="{5CD6E34C-4F00-4B22-85BD-A9E15BBE3A4E}">
      <text>
        <r>
          <rPr>
            <b/>
            <sz val="8"/>
            <color indexed="81"/>
            <rFont val="Tahoma"/>
          </rPr>
          <t>Popescu Radu :</t>
        </r>
        <r>
          <rPr>
            <sz val="8"/>
            <color indexed="81"/>
            <rFont val="Tahoma"/>
          </rPr>
          <t xml:space="preserve">
Statie pompare apa uzata noua 7 buc
Echipamente electrice</t>
        </r>
      </text>
    </comment>
    <comment ref="D112" authorId="0" shapeId="0" xr:uid="{BCB386FB-AE09-431F-B2EF-936050090DDA}">
      <text>
        <r>
          <rPr>
            <b/>
            <sz val="8"/>
            <color indexed="81"/>
            <rFont val="Tahoma"/>
          </rPr>
          <t>Popescu Radu :</t>
        </r>
        <r>
          <rPr>
            <sz val="8"/>
            <color indexed="81"/>
            <rFont val="Tahoma"/>
          </rPr>
          <t xml:space="preserve">
Stație de pompare apă uzată (nouă) 7 bc
</t>
        </r>
      </text>
    </comment>
    <comment ref="D113" authorId="0" shapeId="0" xr:uid="{37022EE0-C81D-452A-AE79-489FE71997BC}">
      <text>
        <r>
          <rPr>
            <b/>
            <sz val="8"/>
            <color indexed="81"/>
            <rFont val="Tahoma"/>
          </rPr>
          <t>Popescu Radu :</t>
        </r>
        <r>
          <rPr>
            <sz val="8"/>
            <color indexed="81"/>
            <rFont val="Tahoma"/>
          </rPr>
          <t xml:space="preserve">
Stație de pompare apă uzată (nouă) 9 bc
Stație de pompare apă uzată (reabilitata) 1 bc
Stație de pompare apă uzată (moderniz. SCADA ) 6 bc
</t>
        </r>
      </text>
    </comment>
    <comment ref="D114" authorId="0" shapeId="0" xr:uid="{86621093-B853-4060-B5FE-A35E59498589}">
      <text>
        <r>
          <rPr>
            <b/>
            <sz val="8"/>
            <color indexed="81"/>
            <rFont val="Tahoma"/>
          </rPr>
          <t>Popescu Radu :</t>
        </r>
        <r>
          <rPr>
            <sz val="8"/>
            <color indexed="81"/>
            <rFont val="Tahoma"/>
          </rPr>
          <t xml:space="preserve">
Stație de pompare apă uzată (nouă) 5 bc
</t>
        </r>
      </text>
    </comment>
    <comment ref="D115" authorId="0" shapeId="0" xr:uid="{3582FB02-2DD3-45E4-BA10-53ED33E5D86E}">
      <text>
        <r>
          <rPr>
            <b/>
            <sz val="8"/>
            <color indexed="81"/>
            <rFont val="Tahoma"/>
          </rPr>
          <t>Popescu Radu :</t>
        </r>
        <r>
          <rPr>
            <sz val="8"/>
            <color indexed="81"/>
            <rFont val="Tahoma"/>
          </rPr>
          <t xml:space="preserve">
Stație de pompare apă uzată (nouă) 5 bc
</t>
        </r>
      </text>
    </comment>
    <comment ref="D116" authorId="0" shapeId="0" xr:uid="{04D00FE6-9523-482B-B79A-F35B87E7239C}">
      <text>
        <r>
          <rPr>
            <b/>
            <sz val="8"/>
            <color indexed="81"/>
            <rFont val="Tahoma"/>
          </rPr>
          <t>Popescu Radu :</t>
        </r>
        <r>
          <rPr>
            <sz val="8"/>
            <color indexed="81"/>
            <rFont val="Tahoma"/>
          </rPr>
          <t xml:space="preserve">
Stație de pompare apă uzată (nouă) 7 bc
</t>
        </r>
      </text>
    </comment>
    <comment ref="D117" authorId="0" shapeId="0" xr:uid="{08CB79BD-16D9-4DD0-A965-2F19B348ADB6}">
      <text>
        <r>
          <rPr>
            <b/>
            <sz val="8"/>
            <color indexed="81"/>
            <rFont val="Tahoma"/>
          </rPr>
          <t>Popescu Radu :</t>
        </r>
        <r>
          <rPr>
            <sz val="8"/>
            <color indexed="81"/>
            <rFont val="Tahoma"/>
          </rPr>
          <t xml:space="preserve">
1. Reabilitare: instalatii/linii electrice Uzina 2 + impamantari Uzina 2 - 20.000
2. Marire capacitate bransament electric SPAU Hatman Arbore, mun. Arad - 10000
3. Marire capacitate bransament electric SPAU 6, mun. Arad
4. Cofinanţare utilizare energie regenerabilă (panouri fotovoltaice) - 436.000
5. Cresterea eficientei energetice electrice la Statia de EPURARE Arad - 50000
6. Rebilitare punct racordare energie electrică Calea Şiriei Uzina 2 1500000
7. Cofinantare utilizare energie regenerabila/SF Fonduri de modernizare -  Noi capacitati de producere a energiei electrice din surse regenerabile SP6CJI2152 - 1 mil din 2
8. Baterii compesare energie electrică, 50 buc - 200.000 euro ....in 2025-2026
9. Relocare statii ridicare presiune in mun. Arad 200.000 euro in 2027</t>
        </r>
      </text>
    </comment>
    <comment ref="D118" authorId="0" shapeId="0" xr:uid="{E4C79415-2E9C-45ED-80CF-39B60E2F2BA4}">
      <text>
        <r>
          <rPr>
            <b/>
            <sz val="8"/>
            <color indexed="81"/>
            <rFont val="Tahoma"/>
          </rPr>
          <t>Popescu Radu :</t>
        </r>
        <r>
          <rPr>
            <sz val="8"/>
            <color indexed="81"/>
            <rFont val="Tahoma"/>
          </rPr>
          <t xml:space="preserve">
1. finantare UE - POIM
</t>
        </r>
      </text>
    </comment>
    <comment ref="D120" authorId="0" shapeId="0" xr:uid="{F355A830-7BF6-445A-9DFA-52B3FE7C7B3D}">
      <text>
        <r>
          <rPr>
            <b/>
            <sz val="8"/>
            <color indexed="81"/>
            <rFont val="Tahoma"/>
          </rPr>
          <t>Popescu Radu :</t>
        </r>
        <r>
          <rPr>
            <sz val="8"/>
            <color indexed="81"/>
            <rFont val="Tahoma"/>
          </rPr>
          <t xml:space="preserve">
Stație de pompare apă uzată (nouă) 8 buc
Stație de pompare apă uzată (reabilitata, modernizata) 20 buc
Reabilitare SP6 si colector general (pt tot clusterul)
</t>
        </r>
      </text>
    </comment>
    <comment ref="D126" authorId="0" shapeId="0" xr:uid="{93FD9A13-BF55-4126-B291-0C061451A97E}">
      <text>
        <r>
          <rPr>
            <b/>
            <sz val="8"/>
            <color indexed="81"/>
            <rFont val="Tahoma"/>
          </rPr>
          <t>Popescu Radu :</t>
        </r>
        <r>
          <rPr>
            <sz val="8"/>
            <color indexed="81"/>
            <rFont val="Tahoma"/>
          </rPr>
          <t xml:space="preserve">
1.Reabilitare racorduri canalizare 50 buc, 0,5 km - 72000</t>
        </r>
      </text>
    </comment>
    <comment ref="D127" authorId="0" shapeId="0" xr:uid="{FC4F04CE-92E8-46B5-8CDA-5E54FFCFD652}">
      <text>
        <r>
          <rPr>
            <b/>
            <sz val="8"/>
            <color indexed="81"/>
            <rFont val="Tahoma"/>
          </rPr>
          <t>Popescu Radu :</t>
        </r>
        <r>
          <rPr>
            <sz val="8"/>
            <color indexed="81"/>
            <rFont val="Tahoma"/>
          </rPr>
          <t xml:space="preserve">
Rețea canalizare (inlocuiri)
Conducte de racord (inlocuiri)
Camine de racord (inlocuiri)
Refulare ape uzate menajere (inlocuiri)
</t>
        </r>
      </text>
    </comment>
    <comment ref="D128" authorId="0" shapeId="0" xr:uid="{236AD8E6-1F52-497A-8EDF-DE7DF501A150}">
      <text>
        <r>
          <rPr>
            <b/>
            <sz val="8"/>
            <color indexed="81"/>
            <rFont val="Tahoma"/>
          </rPr>
          <t>Popescu Radu :</t>
        </r>
        <r>
          <rPr>
            <sz val="8"/>
            <color indexed="81"/>
            <rFont val="Tahoma"/>
          </rPr>
          <t xml:space="preserve">
1. Reabilitare conducta refulare SP Baba Novac 250 ml - 15000/2023
2. Reabilitare conducta refulare SP Digului + colector nou DN 600 str. Păstorului, str. Lipovei, str. Argeş
3. Reabilitare colector menajer Aleea Neptun, bl. Y6-Y7, DN 200 mm, L=70 m
4. Reabilitare conducta refulare Clopotului subtraversare CF DN 315 mm, 150 ml, 90.000 euro , in 2026
5. Reabilitare retea canalizare str. Rosiori, 860 ml , 50.000 euro in 2025
6. Reabiliare colector menajer str. Alba Iulia Dn 500, 500ml - 1.000.000 in 2025 si 2026
7. Reabilitare racorduri canalizare, 250 buc, 2,5 km, 460000 lei
7. + 1 mil in 2025 si + 1 mil in 2026
nou la rectificare
8. Marire capacitate conducta refulare (dublare fir) SPAU Clopotului </t>
        </r>
      </text>
    </comment>
    <comment ref="D129" authorId="0" shapeId="0" xr:uid="{17FE994B-532B-4BAC-8F72-17145C2C8D40}">
      <text>
        <r>
          <rPr>
            <b/>
            <sz val="8"/>
            <color indexed="81"/>
            <rFont val="Tahoma"/>
          </rPr>
          <t>Popescu Radu :</t>
        </r>
        <r>
          <rPr>
            <sz val="8"/>
            <color indexed="81"/>
            <rFont val="Tahoma"/>
          </rPr>
          <t xml:space="preserve">
Rețea canalizare (inlocuiri)
Conducte de racord (inlocuri)
Camine de racord (inlocuiri)
Refulare ape uzate menajere (inlocuiri)
</t>
        </r>
      </text>
    </comment>
    <comment ref="D130" authorId="0" shapeId="0" xr:uid="{F6DCFB87-5E62-4D46-B220-48044F3C06F3}">
      <text>
        <r>
          <rPr>
            <b/>
            <sz val="8"/>
            <color indexed="81"/>
            <rFont val="Tahoma"/>
          </rPr>
          <t>Popescu Radu :</t>
        </r>
        <r>
          <rPr>
            <sz val="8"/>
            <color indexed="81"/>
            <rFont val="Tahoma"/>
          </rPr>
          <t xml:space="preserve">
Rețea canalizare (inlocuiri)
Conducte de racord (inlocuiri)
Camine de racord (inlocuiri)
</t>
        </r>
      </text>
    </comment>
    <comment ref="D131" authorId="0" shapeId="0" xr:uid="{61854116-E334-4C35-9C1A-1E8D513582CD}">
      <text>
        <r>
          <rPr>
            <b/>
            <sz val="8"/>
            <color indexed="81"/>
            <rFont val="Tahoma"/>
          </rPr>
          <t>Popescu Radu :</t>
        </r>
        <r>
          <rPr>
            <sz val="8"/>
            <color indexed="81"/>
            <rFont val="Tahoma"/>
          </rPr>
          <t xml:space="preserve">
Rețea canalizare (INLOCUIRI)
</t>
        </r>
      </text>
    </comment>
    <comment ref="D132" authorId="0" shapeId="0" xr:uid="{AE4CD9C0-4386-46BF-9C91-C55074F39918}">
      <text>
        <r>
          <rPr>
            <b/>
            <sz val="8"/>
            <color indexed="81"/>
            <rFont val="Tahoma"/>
          </rPr>
          <t>Popescu Radu :</t>
        </r>
        <r>
          <rPr>
            <sz val="8"/>
            <color indexed="81"/>
            <rFont val="Tahoma"/>
          </rPr>
          <t xml:space="preserve">
1. 0,3 km 75.000 euro in 2025</t>
        </r>
      </text>
    </comment>
    <comment ref="D133" authorId="0" shapeId="0" xr:uid="{C675A13E-976B-4DAC-96EF-F8C399DCBB9A}">
      <text>
        <r>
          <rPr>
            <b/>
            <sz val="8"/>
            <color indexed="81"/>
            <rFont val="Tahoma"/>
          </rPr>
          <t>Popescu Radu :</t>
        </r>
        <r>
          <rPr>
            <sz val="8"/>
            <color indexed="81"/>
            <rFont val="Tahoma"/>
          </rPr>
          <t xml:space="preserve">
1. Reabilitare conducta refulare SP Calea Timişorii DN 315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Popescu Radu </author>
  </authors>
  <commentList>
    <comment ref="D5" authorId="0" shapeId="0" xr:uid="{4251B85A-980A-4D28-A106-01B21265F101}">
      <text>
        <r>
          <rPr>
            <b/>
            <sz val="8"/>
            <color indexed="81"/>
            <rFont val="Tahoma"/>
          </rPr>
          <t>Popescu Radu :</t>
        </r>
        <r>
          <rPr>
            <sz val="8"/>
            <color indexed="81"/>
            <rFont val="Tahoma"/>
          </rPr>
          <t xml:space="preserve">
1. Contorizare asociatii locatari SP6283
2.Digitalizarea infrastructurii de apa si apa uzata a operatorului regional municipiul Arad - contorizare inteligenta CJISP6283 823670,26
3. Contorizare zonala in mun. Arad (Gai, Uzina2, Uzina 3)
4. Debitmetre intrare  - iesire gospodării apă in mun. Arad 170.000 euro 2025-2027</t>
        </r>
      </text>
    </comment>
    <comment ref="D6" authorId="0" shapeId="0" xr:uid="{FAF7ECDF-3995-4896-9076-B9A522E2714C}">
      <text>
        <r>
          <rPr>
            <b/>
            <sz val="8"/>
            <color indexed="81"/>
            <rFont val="Tahoma"/>
          </rPr>
          <t>Popescu Radu :</t>
        </r>
        <r>
          <rPr>
            <sz val="8"/>
            <color indexed="81"/>
            <rFont val="Tahoma"/>
          </rPr>
          <t xml:space="preserve">
1. Contoare mecanice 400 buc
2. Vipak 4000 buc</t>
        </r>
      </text>
    </comment>
    <comment ref="D7" authorId="0" shapeId="0" xr:uid="{41C6E7E5-1EC0-4232-8F3F-9F4B1B053762}">
      <text>
        <r>
          <rPr>
            <b/>
            <sz val="8"/>
            <color indexed="81"/>
            <rFont val="Tahoma"/>
          </rPr>
          <t>Popescu Radu :</t>
        </r>
        <r>
          <rPr>
            <sz val="8"/>
            <color indexed="81"/>
            <rFont val="Tahoma"/>
          </rPr>
          <t xml:space="preserve">
1. Reabilitare SP2, SP10, Hatman Arbore, Clopotului, Baba Novac, Agricultorilor, Fagului, Fantanii, Independentei, Panselei)
2. Reabilitare conducta refulare SP HAda</t>
        </r>
      </text>
    </comment>
    <comment ref="D8" authorId="0" shapeId="0" xr:uid="{FD29AC09-05F6-4125-BDC1-07FCEC79CD41}">
      <text>
        <r>
          <rPr>
            <b/>
            <sz val="8"/>
            <color indexed="81"/>
            <rFont val="Tahoma"/>
          </rPr>
          <t>Popescu Radu :</t>
        </r>
        <r>
          <rPr>
            <sz val="8"/>
            <color indexed="81"/>
            <rFont val="Tahoma"/>
          </rPr>
          <t xml:space="preserve">
1. Inlocuire conducta canal menajer Calea Romanilor Dn 500 L=60 m
</t>
        </r>
      </text>
    </comment>
    <comment ref="D9" authorId="0" shapeId="0" xr:uid="{4C2DA073-A47A-4FA9-B2C7-9B706EDC9C3D}">
      <text>
        <r>
          <rPr>
            <b/>
            <sz val="8"/>
            <color indexed="81"/>
            <rFont val="Tahoma"/>
          </rPr>
          <t>Popescu Radu :</t>
        </r>
        <r>
          <rPr>
            <sz val="8"/>
            <color indexed="81"/>
            <rFont val="Tahoma"/>
          </rPr>
          <t xml:space="preserve">
1. Reabilitare bransament pct termic PT 2 Banu Maracine
2. Montare hidranti noi pe retelele de apa in Arad
</t>
        </r>
      </text>
    </comment>
    <comment ref="D10" authorId="0" shapeId="0" xr:uid="{A7634432-48F4-4548-8A59-094878B1F2A7}">
      <text>
        <r>
          <rPr>
            <b/>
            <sz val="8"/>
            <color indexed="81"/>
            <rFont val="Tahoma"/>
          </rPr>
          <t>Popescu Radu :</t>
        </r>
        <r>
          <rPr>
            <sz val="8"/>
            <color indexed="81"/>
            <rFont val="Tahoma"/>
          </rPr>
          <t xml:space="preserve">
1. Amenajare atelier reparatii pompe si atelier electric la SE Arad
2. Reabilitare gard beton si instalatie termica la SE
3. Reabilitare vestiar Uzina 2 in vederea relocarii personalului de la Gradina Postei
4. Amenajare padoc si magayie la Uz 2
5. Reabilitare instalatii incalzire si apa calda menajera la Uzina 2 (vestiar, atelier, statie clorinare, inclocuire centrala)
6. Reabilitare spatii adm. S Dragoi 
7. Reabilitare Sp adm STIRU, Uzina1 , STIRU - atelier rep auto
8. Amenajare spatiu arhiva Uzina 1 - 30.000 lei
9 Reabilitare Uzina 2 corp administrativ si stati e de tratare - 50000 euro in 2015 si 2016
10. Reabilitare statie clorinare Uzina 3 - igienizari - 10.000 euo in 2025
la rectificare nou
11. Reabilitare cladire Statie de Pompare Uzina 1
12. Reabilitare spatii administratice Uzina 2
</t>
        </r>
      </text>
    </comment>
    <comment ref="D11" authorId="0" shapeId="0" xr:uid="{D462FC90-DAD0-4893-89D9-305CB223430B}">
      <text>
        <r>
          <rPr>
            <b/>
            <sz val="8"/>
            <color indexed="81"/>
            <rFont val="Tahoma"/>
          </rPr>
          <t>Popescu Radu :</t>
        </r>
        <r>
          <rPr>
            <sz val="8"/>
            <color indexed="81"/>
            <rFont val="Tahoma"/>
          </rPr>
          <t xml:space="preserve">
1. echipamentele de la privat
2. echipamente de la tip 6
3. Achiziti echipamente de pompare
4. Implementare sistem informatic integrat
5. Stand verificare metrologica
6. Echipamente detectie pierderi de apa
Nou la rectificare
7. Mixer bazin anaerob 2 la SE Arad</t>
        </r>
      </text>
    </comment>
    <comment ref="D12" authorId="0" shapeId="0" xr:uid="{34BBC33D-975B-4EEB-8B22-5FE8E44DF3CD}">
      <text>
        <r>
          <rPr>
            <b/>
            <sz val="8"/>
            <color indexed="81"/>
            <rFont val="Tahoma"/>
          </rPr>
          <t>Popescu Radu :</t>
        </r>
        <r>
          <rPr>
            <sz val="8"/>
            <color indexed="81"/>
            <rFont val="Tahoma"/>
          </rPr>
          <t xml:space="preserve">
inclusiv Realizare foraje de observatie pentru monitorizarea apei freatice din jurul statiilor de epurare (Savarsin, Siria, Nadlac) - 5000 lei</t>
        </r>
      </text>
    </comment>
    <comment ref="D14" authorId="0" shapeId="0" xr:uid="{FF792C70-5D40-4FA0-A937-E4C75A22DED8}">
      <text>
        <r>
          <rPr>
            <b/>
            <sz val="8"/>
            <color indexed="81"/>
            <rFont val="Tahoma"/>
          </rPr>
          <t>Popescu Radu :</t>
        </r>
        <r>
          <rPr>
            <sz val="8"/>
            <color indexed="81"/>
            <rFont val="Tahoma"/>
          </rPr>
          <t xml:space="preserve">
1, Contoare mecanice 5000 buc
2, SIGILII VIPAk, 500 buc</t>
        </r>
      </text>
    </comment>
    <comment ref="D15" authorId="0" shapeId="0" xr:uid="{02733028-6F5B-4C8C-A858-379B30DB910D}">
      <text>
        <r>
          <rPr>
            <b/>
            <sz val="8"/>
            <color indexed="81"/>
            <rFont val="Tahoma"/>
          </rPr>
          <t>Popescu Radu :</t>
        </r>
        <r>
          <rPr>
            <sz val="8"/>
            <color indexed="81"/>
            <rFont val="Tahoma"/>
          </rPr>
          <t xml:space="preserve">
1. Închidere inel reţea apă str. Bujorului, între str. M. Sadoveanu şi str. Romanilor, 300 ml, PE HD 125 mm - SÂNTANA - 5000 lei
2.INEU inchidere inele retea apa intre str. Crişului şi Ardealului; Crişana şi Bihorului; Argeşului cu Trandafirilor; Narciselor cu Mureşului - 5000 Vidrean
3. Executie retea 100 ml si bransamente in localitatea Pecica 
4. Reabilitare reţele apă Zădăreni, Călugăreni 100 lei
5. Reabilitare conducta aductiune PE 225 Bontesti 100 lei
6. Subtraversare CF Vladimirescu cu reţea apă DN 600 - 6000 lei
7. Reabilitare aducţiune - 7 km - UAT Bocsig Beliu
8.  + 1/3 din pozitia Executie foraje dirijate (Bocsig si Zimandul Nou) 3 buc
9. Relocare transformator energie electrică, pe domeniul public, Uzina de Apă Bocsig</t>
        </r>
      </text>
    </comment>
    <comment ref="D16" authorId="0" shapeId="0" xr:uid="{263DF305-11DC-42CD-81A1-73280AE5474E}">
      <text>
        <r>
          <rPr>
            <b/>
            <sz val="8"/>
            <color indexed="81"/>
            <rFont val="Tahoma"/>
          </rPr>
          <t>Popescu Radu :</t>
        </r>
        <r>
          <rPr>
            <sz val="8"/>
            <color indexed="81"/>
            <rFont val="Tahoma"/>
          </rPr>
          <t xml:space="preserve">
1. Reabilitare statii de pompare: Lipova (Calea Timisorii), Siria (Eminescu SPAU1), Ineu (SPAU 3 + SPAU2) </t>
        </r>
      </text>
    </comment>
    <comment ref="D17" authorId="0" shapeId="0" xr:uid="{78FC4F95-9CCA-472F-85DC-1589911A2C0C}">
      <text>
        <r>
          <rPr>
            <b/>
            <sz val="8"/>
            <color indexed="81"/>
            <rFont val="Tahoma"/>
          </rPr>
          <t>Popescu Radu :</t>
        </r>
        <r>
          <rPr>
            <sz val="8"/>
            <color indexed="81"/>
            <rFont val="Tahoma"/>
          </rPr>
          <t xml:space="preserve">
Relocare reţea canalizare menajeră str. 1 Mai, loc. Ineu, jud. Arad</t>
        </r>
      </text>
    </comment>
    <comment ref="D18" authorId="0" shapeId="0" xr:uid="{2B2553E6-3F2F-45EE-88F0-B200DF6EED3F}">
      <text>
        <r>
          <rPr>
            <b/>
            <sz val="8"/>
            <color indexed="81"/>
            <rFont val="Tahoma"/>
          </rPr>
          <t>Popescu Radu :</t>
        </r>
        <r>
          <rPr>
            <sz val="8"/>
            <color indexed="81"/>
            <rFont val="Tahoma"/>
          </rPr>
          <t xml:space="preserve">
1.Imprejmuire statie de pompare si foraje la Savarsin 
2. Imprejmuire Uzina Ghioroc si front captare
3. Reabilitare echipamente electrice Statia de Pompare str. Timisorii-Lipova 
4. Reabilitare Uzina de Apă Pecica - igienizare spatii
5. Consolidare Cladire Uzina de Apă Cermei
6. Execuţia unei conexiuni tehnologice noi la Gospodăria de Apă potabilă Chisindia pentru alimentarea cu apă a rezervorului de apa de 200 mc 100 lei
7. Reabilitare Incălzire Uzina de Apă Vinga - 7.000 lei
8. Reabilitare Uzina de Apa Ghioroc - 10.000 lei
9. Reabilitare incalzire Gurahont - 2000
10. Monitorizare obiective CAA - 185.000 lei
11. Reabilitare uzina si Statie de Pompare Felnac - 25.000 lei
12. Igienizare spatii: reabilitare Uzina Apa Pecica, Lipova - reab reyervoare, Curtici - reab rezervoare + uzina, Sanatana - reabilitare rezervoare + uzina - 105.000 euro in 2024 si 2025
nou rectificare
13. Amenajsare spatiu administrativ SE Ineu</t>
        </r>
      </text>
    </comment>
    <comment ref="D20" authorId="0" shapeId="0" xr:uid="{8277637C-4F91-421F-A2EB-D0B104B20352}">
      <text>
        <r>
          <rPr>
            <b/>
            <sz val="8"/>
            <color indexed="81"/>
            <rFont val="Tahoma"/>
          </rPr>
          <t>Popescu Radu :</t>
        </r>
        <r>
          <rPr>
            <sz val="8"/>
            <color indexed="81"/>
            <rFont val="Tahoma"/>
          </rPr>
          <t xml:space="preserve">
1. Marirea capacitatii de captare apacu un foraj- microsistem Bocsig - 1000 lei
2. Marirea capacitatii de captare apa cu un foraj - microsistem Gurahont - Brazii 20000 lei
3. Reabilitare foraje jud. Arad 40.000 lei</t>
        </r>
      </text>
    </comment>
    <comment ref="D23" authorId="0" shapeId="0" xr:uid="{9FD2CB18-1C57-4165-9E96-1CEE06FE4BC3}">
      <text>
        <r>
          <rPr>
            <b/>
            <sz val="8"/>
            <color indexed="81"/>
            <rFont val="Tahoma"/>
          </rPr>
          <t>Popescu Radu :</t>
        </r>
        <r>
          <rPr>
            <sz val="8"/>
            <color indexed="81"/>
            <rFont val="Tahoma"/>
          </rPr>
          <t xml:space="preserve">
Reabilitare colector menajer str. Tudor Vladimirescu, Ansamblu locuite blocuri, PVC DN 250, 300 ml, PÂNCOTA</t>
        </r>
      </text>
    </comment>
  </commentList>
</comments>
</file>

<file path=xl/sharedStrings.xml><?xml version="1.0" encoding="utf-8"?>
<sst xmlns="http://schemas.openxmlformats.org/spreadsheetml/2006/main" count="912" uniqueCount="218">
  <si>
    <r>
      <t>1.</t>
    </r>
    <r>
      <rPr>
        <b/>
        <sz val="7"/>
        <color indexed="8"/>
        <rFont val="Times New Roman"/>
        <family val="1"/>
      </rPr>
      <t xml:space="preserve">      </t>
    </r>
    <r>
      <rPr>
        <b/>
        <sz val="12"/>
        <color indexed="8"/>
        <rFont val="Calibri"/>
        <family val="2"/>
      </rPr>
      <t>Lista investițiilor pentru conformare cu Directiva Apa Potabila 98/1983 incluse in planul de afaceri</t>
    </r>
  </si>
  <si>
    <t>Nr crt</t>
  </si>
  <si>
    <t>Descriere investitie</t>
  </si>
  <si>
    <t>Etape (data finalizare - an)</t>
  </si>
  <si>
    <t>Plati anuale</t>
  </si>
  <si>
    <t>UAT</t>
  </si>
  <si>
    <t>Denumire investiție</t>
  </si>
  <si>
    <t>Valoare indicator fizic de monitorizare/ progres</t>
  </si>
  <si>
    <t>U.M.</t>
  </si>
  <si>
    <t>Valoare investiție (lei) 2023-2027</t>
  </si>
  <si>
    <t>Valoare investiție (lei) 2023-2029</t>
  </si>
  <si>
    <t>Descriere impact*</t>
  </si>
  <si>
    <t>Sursa de finanțare</t>
  </si>
  <si>
    <t>An finalizare</t>
  </si>
  <si>
    <t>Observații</t>
  </si>
  <si>
    <t>Realizarea si aprobarea studiilor de fezabilitate</t>
  </si>
  <si>
    <t>Realizarea proiectelor tehnice de executie</t>
  </si>
  <si>
    <t>Obtinerea avizelor si autorizatiilor necesare executarii lucrarilor</t>
  </si>
  <si>
    <t>Realizarea documentatiilor de atribuire a contractelor</t>
  </si>
  <si>
    <t>desfasurarea licitatiilor</t>
  </si>
  <si>
    <t>CJA</t>
  </si>
  <si>
    <t>Extindere /reabilitare siteme de alimentare cu apă</t>
  </si>
  <si>
    <t>km</t>
  </si>
  <si>
    <t>Cresterea calitatii apei furnizate prin marirea debitelor, precum si reducerea pierderilor de apa</t>
  </si>
  <si>
    <t>PDD</t>
  </si>
  <si>
    <t>2000mx120e/m=240000e.</t>
  </si>
  <si>
    <t>IID</t>
  </si>
  <si>
    <t>Gospodarie apa</t>
  </si>
  <si>
    <t>obiective</t>
  </si>
  <si>
    <t>Creşterea calităţii serviciului prestat, consolidarea rezervei de apă</t>
  </si>
  <si>
    <t>Arad</t>
  </si>
  <si>
    <t>Lipova</t>
  </si>
  <si>
    <t>Pecica</t>
  </si>
  <si>
    <t>Nadlac</t>
  </si>
  <si>
    <t>Buteni</t>
  </si>
  <si>
    <t>Vinga</t>
  </si>
  <si>
    <t>Gurahont</t>
  </si>
  <si>
    <t>Brazii</t>
  </si>
  <si>
    <t>Halmagel</t>
  </si>
  <si>
    <t>Moneasa</t>
  </si>
  <si>
    <t>Şimand</t>
  </si>
  <si>
    <t>Pilu</t>
  </si>
  <si>
    <t>Sepreus</t>
  </si>
  <si>
    <t>Cermei</t>
  </si>
  <si>
    <t>Sicula</t>
  </si>
  <si>
    <t>Pâncota</t>
  </si>
  <si>
    <t>buc</t>
  </si>
  <si>
    <t>Beliu</t>
  </si>
  <si>
    <t>Craiva</t>
  </si>
  <si>
    <t>Reabilitare retea distributie apa, Azbociment</t>
  </si>
  <si>
    <t>Conformare directiva 98/1983, reducere pierderi de apa</t>
  </si>
  <si>
    <t>Reducere cu 0,5% a volumului total de apa care nu aduce venituri. Se realizeaza cu personal propriu</t>
  </si>
  <si>
    <t>nu e cazul</t>
  </si>
  <si>
    <t>Bocsig</t>
  </si>
  <si>
    <t>Redimensionare (marire capacitate tratare + inmagazinare Uzina de Apa + foraje)</t>
  </si>
  <si>
    <t>Cresterea calitatii serviciului prestat</t>
  </si>
  <si>
    <t xml:space="preserve">Savârşin </t>
  </si>
  <si>
    <t>Realizare Staţie Tratare Apă</t>
  </si>
  <si>
    <t>Plan de conformare / 2364/03.02.2021</t>
  </si>
  <si>
    <t>IID (POIM)</t>
  </si>
  <si>
    <t>Apateu</t>
  </si>
  <si>
    <t>Redimensionare Staţie Tratare Apă</t>
  </si>
  <si>
    <t>Siria</t>
  </si>
  <si>
    <t>Zerind</t>
  </si>
  <si>
    <t>Redimensionare staţie de tratare Zerind</t>
  </si>
  <si>
    <t>Grăniceri</t>
  </si>
  <si>
    <t>Redimensionare statie tratare Grăniceri</t>
  </si>
  <si>
    <t>Redimensionare statie tratare Siclau</t>
  </si>
  <si>
    <t>Ghioroc</t>
  </si>
  <si>
    <t>Realizare şi extindere complexe de înmagazinare /pompare Ghioroc</t>
  </si>
  <si>
    <t>Varfurile</t>
  </si>
  <si>
    <t>Conformare directiva 98/1983</t>
  </si>
  <si>
    <t>Valoare totală investitii apă - conformare (lei)</t>
  </si>
  <si>
    <t>*impactul va fi cuantificat fie in nr de locuitori noi bransați la sistemul de alimentare cu apa sau cresterea calitatii apei furnizate sau a serviciului prestat</t>
  </si>
  <si>
    <t>TOTAL</t>
  </si>
  <si>
    <t>2. Lista investițiilor pentru conformare cu Directiva privind Epurarea Apelor Uzate Urbane 271/1991 incluse in planul de afaceri</t>
  </si>
  <si>
    <t>Aglomerare umană</t>
  </si>
  <si>
    <t>Valoare investiție (lei)2023-2029</t>
  </si>
  <si>
    <t>Realizarea documentatiilor de atribuire a contrcatelor</t>
  </si>
  <si>
    <t>Extindere  sisteme canalizare menajeră</t>
  </si>
  <si>
    <t>nr de locuitori noi racordați la sistemul de canalizare</t>
  </si>
  <si>
    <t>Arad si zona Limitrofa</t>
  </si>
  <si>
    <t>SEAU 224,800  p.e. (retehnologizare, completare, inclusiv instalatie regionala valorificare energetica namol)</t>
  </si>
  <si>
    <t>Conformare cu Directiva 91/271/CEE</t>
  </si>
  <si>
    <t>Inlocuire echipamente Statie Epurare  Arad</t>
  </si>
  <si>
    <t>imbunatatirea calitatii apelor deversate in raul Mures</t>
  </si>
  <si>
    <t>Interreg</t>
  </si>
  <si>
    <t>Implementare program INTERREG (cofinanţare şi cheltuieli neeligibile)</t>
  </si>
  <si>
    <t>Ineu</t>
  </si>
  <si>
    <t xml:space="preserve">Ineu </t>
  </si>
  <si>
    <t>SEAU 12,919  p.e. (reab. si ext. treapta biologica)</t>
  </si>
  <si>
    <t>Inlocuire echipamente Statie Epurare Ineu</t>
  </si>
  <si>
    <t>imbunatatirea calitatii apelor deversate in raul Cris</t>
  </si>
  <si>
    <t xml:space="preserve">Lipova </t>
  </si>
  <si>
    <t>Lipova, zabrani</t>
  </si>
  <si>
    <t>Constructie si integrare in statia existente a epurarii mecanice</t>
  </si>
  <si>
    <t>Constructie statie de epurare noua. 2000 Le</t>
  </si>
  <si>
    <t>SEAU 14000  p.e. (Extinsal)</t>
  </si>
  <si>
    <t>SEAU 6,300  p.e. (noua)</t>
  </si>
  <si>
    <t>Executie retea canalizare menajeră noua</t>
  </si>
  <si>
    <t>Înlocuire echipamente la Staţia de Epurare</t>
  </si>
  <si>
    <t>Imbunătăţierea calităţii apelor deversate în emisar</t>
  </si>
  <si>
    <t xml:space="preserve">Reabilitare si extindere SEAU Moneasa 2,175  p.e. </t>
  </si>
  <si>
    <t>Dezna</t>
  </si>
  <si>
    <t>Secusigiu</t>
  </si>
  <si>
    <t>Şeitin</t>
  </si>
  <si>
    <t>Reabilitare statie epurare</t>
  </si>
  <si>
    <t>Valoare totală investitii canalizare - conformare (lei)</t>
  </si>
  <si>
    <t>*impactul va fi cuantificat fie in nr de locuitori noi racordați la sistemul de canalizare sau in cresterea gradului de conformare a calitatii apei epurate deversate in emisar</t>
  </si>
  <si>
    <t>Total IID</t>
  </si>
  <si>
    <r>
      <t>3.</t>
    </r>
    <r>
      <rPr>
        <b/>
        <sz val="7"/>
        <color indexed="8"/>
        <rFont val="Times New Roman"/>
        <family val="1"/>
      </rPr>
      <t xml:space="preserve">      </t>
    </r>
    <r>
      <rPr>
        <b/>
        <sz val="12"/>
        <color indexed="8"/>
        <rFont val="Calibri"/>
        <family val="2"/>
      </rPr>
      <t>Lista investițiilor pentru dezvoltarea/modernizarea sistemului de alimentare cu apă si de canalizare incluse in planul de afaceri</t>
    </r>
  </si>
  <si>
    <t>Descriere impact</t>
  </si>
  <si>
    <t xml:space="preserve">Sistem SCADA </t>
  </si>
  <si>
    <t>Imbunatatirea monitorizarii si ransmiterii datelor din sistemele de alimentare cu apa si canalizare</t>
  </si>
  <si>
    <t>Contoare/debitmetre inteligente (ultrasonice/electromagnetice)</t>
  </si>
  <si>
    <t>Reducerea pierderilor de apă</t>
  </si>
  <si>
    <t>POIM</t>
  </si>
  <si>
    <t>BS</t>
  </si>
  <si>
    <t>BL</t>
  </si>
  <si>
    <t>Reabilitare/Realizare SP Canalizare menajeră</t>
  </si>
  <si>
    <t>Reducerea numărului de blocări, Creşterea siguranţei în exploatare</t>
  </si>
  <si>
    <t>Simand</t>
  </si>
  <si>
    <t>Realizare Statii de Pompare aferente sistemului de canalizare menajeră</t>
  </si>
  <si>
    <t>Creşterea siguranţei în exploatare</t>
  </si>
  <si>
    <t>Seitin</t>
  </si>
  <si>
    <t>Mărire capacităţi electrice</t>
  </si>
  <si>
    <t>Reabilitare/Extindere SP Canalizare menajeră</t>
  </si>
  <si>
    <t xml:space="preserve">Reducerea numărului de blocări </t>
  </si>
  <si>
    <t>Total (lei)</t>
  </si>
  <si>
    <t>4. Planul de investii de înlocuire incluse in planul de afaceri</t>
  </si>
  <si>
    <t>Valoare investiție (lei)2023-2027</t>
  </si>
  <si>
    <t>Observatii</t>
  </si>
  <si>
    <t>Reabilitare sisteme canalizare menajeră</t>
  </si>
  <si>
    <t>Reducerea numărului de blocări în sistemul de canalizare</t>
  </si>
  <si>
    <t>Vladimirescu</t>
  </si>
  <si>
    <t>Pancota</t>
  </si>
  <si>
    <t>Reabilitare retea canalizare</t>
  </si>
  <si>
    <t>Prevenirea scurgerilor</t>
  </si>
  <si>
    <t>Total investitii de inlocuire</t>
  </si>
  <si>
    <t xml:space="preserve">Nota: </t>
  </si>
  <si>
    <t>TOTAL GENERAL</t>
  </si>
  <si>
    <t>ANUL</t>
  </si>
  <si>
    <t>* In cazul investitiilor care au ca impact reducerea pierderilor de apa, acesta se va cuantifica/estima ca % de pierderi de apa redus din volumul total al apei intrate in sistem</t>
  </si>
  <si>
    <t>TOTAL INVESTITII IID + PDD + INTERREG 2023 - 2029 (inclusiv investitii in derulare)</t>
  </si>
  <si>
    <t>TOTAL IID</t>
  </si>
  <si>
    <t>TOTAL PDD</t>
  </si>
  <si>
    <t>Total Plan Investitii IID</t>
  </si>
  <si>
    <t>Total Plan Investitii PDD</t>
  </si>
  <si>
    <t>Total Plan Investiti Interreg</t>
  </si>
  <si>
    <t>TOTAL GENERAL Plan Investitii</t>
  </si>
  <si>
    <t>Conformare IID</t>
  </si>
  <si>
    <t>Apa</t>
  </si>
  <si>
    <t>Canal</t>
  </si>
  <si>
    <t>Dezvoltare/Modernizare IID</t>
  </si>
  <si>
    <t>Investitii inlocuire IID</t>
  </si>
  <si>
    <t>Conformare INTERREG</t>
  </si>
  <si>
    <t>Dezvoltare/Modernizare INTERREG</t>
  </si>
  <si>
    <t>Investitii inlocuire INTERREG</t>
  </si>
  <si>
    <t>Total INTERREG</t>
  </si>
  <si>
    <t>Conformare PDD</t>
  </si>
  <si>
    <t>Dezvoltare/Modernizare PDD</t>
  </si>
  <si>
    <t>Investitii inlocuire PDD</t>
  </si>
  <si>
    <t>Total PDD</t>
  </si>
  <si>
    <t>Conformare POIM</t>
  </si>
  <si>
    <t>Dezvoltare/Modernizare POIM</t>
  </si>
  <si>
    <t>Investitii inlocuire POIM</t>
  </si>
  <si>
    <t>Total POIM</t>
  </si>
  <si>
    <t>Conformare BS</t>
  </si>
  <si>
    <t>Dezvoltare/Modernizare BS</t>
  </si>
  <si>
    <t>Investitii inlocuire BS</t>
  </si>
  <si>
    <t>Total BS</t>
  </si>
  <si>
    <t>Conformare BL</t>
  </si>
  <si>
    <t>Dezvoltare/Modernizare BL</t>
  </si>
  <si>
    <t>Investitii inlocuire BL</t>
  </si>
  <si>
    <t>Total BL</t>
  </si>
  <si>
    <t xml:space="preserve">Investii in derulare </t>
  </si>
  <si>
    <t>Stadiu fizic si valoric</t>
  </si>
  <si>
    <t>Valoare investiție (LEI)</t>
  </si>
  <si>
    <t>Stadiu fizic (%)</t>
  </si>
  <si>
    <t>An finalizare lucrari fizice</t>
  </si>
  <si>
    <t>Stadiu Valoric (%)</t>
  </si>
  <si>
    <t>An finalizare dpdv financiar</t>
  </si>
  <si>
    <t>Reducerea erorilor de masura</t>
  </si>
  <si>
    <t>M</t>
  </si>
  <si>
    <t>Contoare mecanice</t>
  </si>
  <si>
    <t>Reabilitare SP Canalizare menajeră</t>
  </si>
  <si>
    <t>Reabilitare colectore menajere</t>
  </si>
  <si>
    <t>I</t>
  </si>
  <si>
    <t>C</t>
  </si>
  <si>
    <t>Reabilitare spatii administrative</t>
  </si>
  <si>
    <t>Creare conditii lucru optime</t>
  </si>
  <si>
    <t>Dotari independente</t>
  </si>
  <si>
    <t>-</t>
  </si>
  <si>
    <t>creşterea eficienţei</t>
  </si>
  <si>
    <t>anual</t>
  </si>
  <si>
    <t xml:space="preserve">Lucrări întreţinere planificate </t>
  </si>
  <si>
    <t>Cresterea calităţii apei furnizate/preluate</t>
  </si>
  <si>
    <t>Lucrări întreţinere periodice</t>
  </si>
  <si>
    <t>Reabilitare reţele canalizare menajeră</t>
  </si>
  <si>
    <t>Reabilitare foraje</t>
  </si>
  <si>
    <t>Cheltuieli neeligibile aferente proiectelor</t>
  </si>
  <si>
    <t>cresterea eficientei</t>
  </si>
  <si>
    <t>Cofinantare AT - POIM</t>
  </si>
  <si>
    <t>.</t>
  </si>
  <si>
    <t>Reabilitări colector menajer</t>
  </si>
  <si>
    <t>TOTAL ANUAL</t>
  </si>
  <si>
    <t>TOTAL 2023 - 2027</t>
  </si>
  <si>
    <t>TOTAL 23-27</t>
  </si>
  <si>
    <t>CONFORMARE Investitii in derulare</t>
  </si>
  <si>
    <t>TOTAL C</t>
  </si>
  <si>
    <t>MODERNIZARE investitii in derulare</t>
  </si>
  <si>
    <t>TOTAL M</t>
  </si>
  <si>
    <t>INLOCUIRI investitii in derulare</t>
  </si>
  <si>
    <t>TOTAL I</t>
  </si>
  <si>
    <t>TOTAL PLAN INVESTITII + INVESTITII IN DERULARE IID</t>
  </si>
  <si>
    <t>In Derulare</t>
  </si>
  <si>
    <t>Plan de Investitii</t>
  </si>
  <si>
    <t>ANEXA LA HOT. AGA NR. 13/21.06.2023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</si>
</sst>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FF0000"/>
      <name val="Calibri"/>
      <family val="2"/>
      <scheme val="minor"/>
    </font>
    <font>
      <b/>
      <sz val="11"/>
      <color theme="1"/>
      <name val="Calibri"/>
      <family val="2"/>
      <scheme val="minor"/>
    </font>
    <font>
      <b/>
      <sz val="18"/>
      <color indexed="8"/>
      <name val="Calibri"/>
      <family val="2"/>
    </font>
    <font>
      <b/>
      <sz val="12"/>
      <color indexed="8"/>
      <name val="Calibri"/>
      <family val="2"/>
    </font>
    <font>
      <b/>
      <sz val="7"/>
      <color indexed="8"/>
      <name val="Times New Roman"/>
      <family val="1"/>
    </font>
    <font>
      <sz val="12"/>
      <color indexed="8"/>
      <name val="Calibri"/>
      <family val="2"/>
    </font>
    <font>
      <b/>
      <sz val="11"/>
      <color indexed="8"/>
      <name val="Calibri"/>
      <family val="2"/>
    </font>
    <font>
      <b/>
      <sz val="8"/>
      <color indexed="81"/>
      <name val="Tahoma"/>
    </font>
    <font>
      <sz val="8"/>
      <color indexed="81"/>
      <name val="Tahoma"/>
    </font>
    <font>
      <b/>
      <sz val="14"/>
      <color indexed="8"/>
      <name val="Calibri"/>
      <family val="2"/>
    </font>
    <font>
      <sz val="10"/>
      <color indexed="8"/>
      <name val="Arial"/>
      <family val="2"/>
    </font>
    <font>
      <b/>
      <sz val="1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
      <patternFill patternType="solid">
        <fgColor indexed="11"/>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145">
    <xf numFmtId="0" fontId="0" fillId="0" borderId="0" xfId="0"/>
    <xf numFmtId="0" fontId="4" fillId="2" borderId="0" xfId="0" applyFont="1" applyFill="1" applyAlignment="1">
      <alignment vertical="center"/>
    </xf>
    <xf numFmtId="0" fontId="0" fillId="2" borderId="0" xfId="0" applyFill="1"/>
    <xf numFmtId="0" fontId="6"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xf numFmtId="0" fontId="2" fillId="3" borderId="1" xfId="0" applyFont="1" applyFill="1" applyBorder="1" applyAlignment="1">
      <alignment horizontal="center" vertical="center"/>
    </xf>
    <xf numFmtId="0" fontId="0" fillId="0" borderId="2" xfId="0" applyBorder="1"/>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3" fontId="6" fillId="5" borderId="1" xfId="0" applyNumberFormat="1" applyFont="1" applyFill="1" applyBorder="1" applyAlignment="1">
      <alignment horizontal="center" vertical="center" wrapText="1"/>
    </xf>
    <xf numFmtId="0" fontId="0" fillId="5" borderId="1" xfId="0" applyFill="1" applyBorder="1" applyAlignment="1">
      <alignment horizontal="center"/>
    </xf>
    <xf numFmtId="3" fontId="0" fillId="5" borderId="1" xfId="0" applyNumberFormat="1" applyFill="1" applyBorder="1" applyAlignment="1">
      <alignment horizontal="right"/>
    </xf>
    <xf numFmtId="3" fontId="6" fillId="4" borderId="1" xfId="0" applyNumberFormat="1" applyFont="1" applyFill="1" applyBorder="1" applyAlignment="1">
      <alignment horizontal="center" vertical="center" wrapText="1"/>
    </xf>
    <xf numFmtId="0" fontId="0" fillId="4" borderId="1" xfId="0" applyFill="1" applyBorder="1" applyAlignment="1">
      <alignment horizontal="center"/>
    </xf>
    <xf numFmtId="3" fontId="0" fillId="0" borderId="1" xfId="0" applyNumberFormat="1" applyBorder="1" applyAlignment="1">
      <alignment horizontal="right"/>
    </xf>
    <xf numFmtId="3" fontId="0" fillId="4" borderId="1" xfId="0" applyNumberFormat="1" applyFill="1" applyBorder="1" applyAlignment="1">
      <alignment horizontal="right"/>
    </xf>
    <xf numFmtId="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xf>
    <xf numFmtId="4" fontId="6" fillId="5"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0" fillId="6" borderId="1" xfId="0" applyFill="1" applyBorder="1" applyAlignment="1">
      <alignment horizontal="center"/>
    </xf>
    <xf numFmtId="3" fontId="0" fillId="6" borderId="1" xfId="0" applyNumberFormat="1" applyFill="1" applyBorder="1" applyAlignment="1">
      <alignment horizontal="right"/>
    </xf>
    <xf numFmtId="3" fontId="4" fillId="0" borderId="8" xfId="0" applyNumberFormat="1" applyFont="1" applyBorder="1" applyAlignment="1">
      <alignment horizontal="right" vertical="center" wrapText="1"/>
    </xf>
    <xf numFmtId="0" fontId="6" fillId="0" borderId="8" xfId="0" applyFont="1" applyBorder="1" applyAlignment="1">
      <alignment horizontal="justify" vertical="center" wrapText="1"/>
    </xf>
    <xf numFmtId="3" fontId="6" fillId="0" borderId="8" xfId="0" applyNumberFormat="1" applyFont="1" applyBorder="1" applyAlignment="1">
      <alignment horizontal="justify" vertical="center" wrapText="1"/>
    </xf>
    <xf numFmtId="3" fontId="0" fillId="0" borderId="0" xfId="0" applyNumberFormat="1"/>
    <xf numFmtId="0" fontId="6" fillId="0" borderId="1" xfId="0" applyFont="1" applyBorder="1" applyAlignment="1">
      <alignment horizontal="justify" vertical="center" wrapText="1"/>
    </xf>
    <xf numFmtId="0" fontId="0" fillId="4" borderId="0" xfId="0" applyFill="1"/>
    <xf numFmtId="3" fontId="0" fillId="5" borderId="1" xfId="0" applyNumberFormat="1" applyFill="1" applyBorder="1" applyAlignment="1">
      <alignment horizontal="center"/>
    </xf>
    <xf numFmtId="0" fontId="6" fillId="5" borderId="1" xfId="0" applyFont="1" applyFill="1" applyBorder="1" applyAlignment="1">
      <alignment horizontal="justify" vertical="center" wrapText="1"/>
    </xf>
    <xf numFmtId="3" fontId="0" fillId="5" borderId="1" xfId="0" applyNumberFormat="1" applyFill="1" applyBorder="1"/>
    <xf numFmtId="3" fontId="0" fillId="4" borderId="1" xfId="0" applyNumberFormat="1" applyFill="1" applyBorder="1" applyAlignment="1">
      <alignment horizontal="center"/>
    </xf>
    <xf numFmtId="3" fontId="0" fillId="0" borderId="1" xfId="0" applyNumberFormat="1" applyBorder="1"/>
    <xf numFmtId="3" fontId="0" fillId="4" borderId="1" xfId="0" applyNumberFormat="1" applyFill="1" applyBorder="1"/>
    <xf numFmtId="3" fontId="4" fillId="0" borderId="1" xfId="0" applyNumberFormat="1" applyFont="1" applyBorder="1" applyAlignment="1">
      <alignment horizontal="right" vertical="center" wrapText="1"/>
    </xf>
    <xf numFmtId="0" fontId="4" fillId="0" borderId="0" xfId="0" applyFont="1" applyAlignment="1">
      <alignment horizontal="left" vertical="center"/>
    </xf>
    <xf numFmtId="0" fontId="4" fillId="0" borderId="5" xfId="0" applyFont="1" applyBorder="1" applyAlignment="1">
      <alignment horizontal="justify" vertical="center" wrapText="1"/>
    </xf>
    <xf numFmtId="3" fontId="4" fillId="0" borderId="5" xfId="0" applyNumberFormat="1" applyFont="1" applyBorder="1" applyAlignment="1">
      <alignment vertical="center" wrapText="1"/>
    </xf>
    <xf numFmtId="0" fontId="6" fillId="0" borderId="5" xfId="0" applyFont="1" applyBorder="1" applyAlignment="1">
      <alignment horizontal="center" vertical="center" wrapText="1"/>
    </xf>
    <xf numFmtId="0" fontId="6" fillId="0" borderId="5" xfId="0" applyFont="1" applyBorder="1" applyAlignment="1">
      <alignment horizontal="justify" vertical="center" wrapText="1"/>
    </xf>
    <xf numFmtId="0" fontId="0" fillId="5" borderId="0" xfId="0" quotePrefix="1" applyFill="1"/>
    <xf numFmtId="0" fontId="0" fillId="0" borderId="0" xfId="0" applyAlignment="1">
      <alignment horizontal="center"/>
    </xf>
    <xf numFmtId="0" fontId="6" fillId="0" borderId="0" xfId="0" applyFont="1" applyAlignment="1">
      <alignment horizontal="justify" vertical="center" wrapText="1"/>
    </xf>
    <xf numFmtId="0" fontId="6" fillId="4" borderId="0" xfId="0" applyFont="1" applyFill="1" applyAlignment="1">
      <alignment horizontal="center" vertical="center" wrapText="1"/>
    </xf>
    <xf numFmtId="0" fontId="0" fillId="4" borderId="0" xfId="0" applyFill="1" applyAlignment="1">
      <alignment horizontal="center"/>
    </xf>
    <xf numFmtId="0" fontId="7" fillId="0" borderId="0" xfId="0" applyFont="1"/>
    <xf numFmtId="0" fontId="2" fillId="0" borderId="1" xfId="0" applyFont="1" applyBorder="1" applyAlignment="1">
      <alignment horizontal="center"/>
    </xf>
    <xf numFmtId="0" fontId="0" fillId="2" borderId="1" xfId="0" applyFill="1" applyBorder="1"/>
    <xf numFmtId="0" fontId="0" fillId="7" borderId="1" xfId="0" applyFill="1" applyBorder="1"/>
    <xf numFmtId="0" fontId="0" fillId="9" borderId="1" xfId="0" applyFill="1" applyBorder="1"/>
    <xf numFmtId="3" fontId="2" fillId="0" borderId="1" xfId="0" applyNumberFormat="1" applyFont="1" applyBorder="1"/>
    <xf numFmtId="0" fontId="2" fillId="0" borderId="1" xfId="0" applyFont="1" applyBorder="1" applyAlignment="1">
      <alignment horizontal="center" vertical="center"/>
    </xf>
    <xf numFmtId="0" fontId="6" fillId="4" borderId="6" xfId="0" applyFont="1" applyFill="1" applyBorder="1" applyAlignment="1">
      <alignment horizontal="center" vertical="center" wrapText="1"/>
    </xf>
    <xf numFmtId="3" fontId="6" fillId="0" borderId="1" xfId="0" applyNumberFormat="1" applyFont="1" applyBorder="1" applyAlignment="1">
      <alignment horizontal="center" vertical="center" wrapText="1"/>
    </xf>
    <xf numFmtId="0" fontId="7" fillId="10" borderId="1" xfId="0" applyFont="1" applyFill="1" applyBorder="1" applyAlignment="1">
      <alignment horizontal="center" vertical="center"/>
    </xf>
    <xf numFmtId="9" fontId="0" fillId="0" borderId="1" xfId="0" applyNumberFormat="1" applyBorder="1" applyAlignment="1">
      <alignment horizontal="center"/>
    </xf>
    <xf numFmtId="3" fontId="0" fillId="0" borderId="1" xfId="0" applyNumberFormat="1" applyBorder="1" applyAlignment="1">
      <alignment horizontal="center"/>
    </xf>
    <xf numFmtId="9" fontId="0" fillId="4" borderId="1" xfId="0" applyNumberFormat="1" applyFill="1" applyBorder="1" applyAlignment="1">
      <alignment horizontal="center"/>
    </xf>
    <xf numFmtId="0" fontId="7" fillId="11" borderId="1" xfId="0" applyFont="1" applyFill="1" applyBorder="1" applyAlignment="1">
      <alignment horizontal="center" vertical="center"/>
    </xf>
    <xf numFmtId="0" fontId="0" fillId="4" borderId="1" xfId="0" applyFill="1" applyBorder="1" applyAlignment="1">
      <alignment horizontal="center" wrapText="1"/>
    </xf>
    <xf numFmtId="0" fontId="7" fillId="12" borderId="1" xfId="0" applyFont="1" applyFill="1" applyBorder="1" applyAlignment="1">
      <alignment horizontal="center" vertical="center"/>
    </xf>
    <xf numFmtId="0" fontId="11" fillId="0" borderId="1" xfId="0" applyFont="1" applyBorder="1" applyAlignment="1">
      <alignment horizontal="center" vertical="center" wrapText="1"/>
    </xf>
    <xf numFmtId="0" fontId="0" fillId="4" borderId="1" xfId="0" applyFill="1" applyBorder="1"/>
    <xf numFmtId="0" fontId="0" fillId="12" borderId="0" xfId="0" applyFill="1"/>
    <xf numFmtId="0" fontId="0" fillId="10" borderId="0" xfId="0" applyFill="1"/>
    <xf numFmtId="0" fontId="0" fillId="11" borderId="0" xfId="0" applyFill="1"/>
    <xf numFmtId="3" fontId="7" fillId="0" borderId="0" xfId="0" applyNumberFormat="1" applyFont="1"/>
    <xf numFmtId="0" fontId="2" fillId="0" borderId="0" xfId="0" applyFont="1" applyAlignment="1">
      <alignment horizontal="center"/>
    </xf>
    <xf numFmtId="3" fontId="2" fillId="0" borderId="0" xfId="0" applyNumberFormat="1" applyFont="1"/>
    <xf numFmtId="0" fontId="12" fillId="0" borderId="1" xfId="0" applyFont="1" applyBorder="1" applyAlignment="1">
      <alignment horizontal="center"/>
    </xf>
    <xf numFmtId="3" fontId="1" fillId="0" borderId="1" xfId="0" applyNumberFormat="1" applyFont="1" applyBorder="1"/>
    <xf numFmtId="0" fontId="0" fillId="13" borderId="1" xfId="0" applyFill="1" applyBorder="1"/>
    <xf numFmtId="3" fontId="2" fillId="13" borderId="1" xfId="0" applyNumberFormat="1" applyFont="1" applyFill="1" applyBorder="1"/>
    <xf numFmtId="0" fontId="1" fillId="0" borderId="1" xfId="0" applyFont="1" applyBorder="1"/>
    <xf numFmtId="0" fontId="0" fillId="0" borderId="0" xfId="0" applyAlignment="1">
      <alignment horizontal="center"/>
    </xf>
    <xf numFmtId="0" fontId="6" fillId="0" borderId="0" xfId="0" applyFont="1" applyAlignment="1">
      <alignment horizontal="justify" vertical="center" wrapText="1"/>
    </xf>
    <xf numFmtId="0" fontId="3" fillId="9" borderId="0" xfId="0" applyFont="1" applyFill="1" applyAlignment="1">
      <alignment horizontal="left" vertical="center"/>
    </xf>
    <xf numFmtId="0" fontId="6" fillId="0" borderId="1" xfId="0" applyFont="1" applyBorder="1" applyAlignment="1">
      <alignment horizontal="center" vertical="center" wrapText="1"/>
    </xf>
    <xf numFmtId="0" fontId="0" fillId="0" borderId="1" xfId="0" applyBorder="1" applyAlignment="1">
      <alignment horizontal="center"/>
    </xf>
    <xf numFmtId="0" fontId="4" fillId="0" borderId="1" xfId="0" applyFont="1" applyBorder="1" applyAlignment="1">
      <alignment horizontal="center" vertical="center"/>
    </xf>
    <xf numFmtId="0" fontId="0" fillId="0" borderId="1" xfId="0" applyBorder="1" applyAlignment="1">
      <alignment horizontal="center" wrapText="1"/>
    </xf>
    <xf numFmtId="0" fontId="6" fillId="4" borderId="1" xfId="0" applyFont="1" applyFill="1" applyBorder="1" applyAlignment="1">
      <alignment horizontal="center" vertical="center" wrapText="1"/>
    </xf>
    <xf numFmtId="0" fontId="0" fillId="0" borderId="1" xfId="0" applyBorder="1" applyAlignment="1">
      <alignment horizontal="center" vertical="center" wrapText="1"/>
    </xf>
    <xf numFmtId="0" fontId="6" fillId="8" borderId="1" xfId="0" applyFont="1" applyFill="1" applyBorder="1" applyAlignment="1">
      <alignment horizontal="center" vertical="center" wrapText="1"/>
    </xf>
    <xf numFmtId="0" fontId="6" fillId="8" borderId="12" xfId="0" applyFont="1" applyFill="1" applyBorder="1" applyAlignment="1">
      <alignment horizontal="center" vertical="center" wrapText="1"/>
    </xf>
    <xf numFmtId="0" fontId="6" fillId="8" borderId="2" xfId="0"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3" fontId="6" fillId="0" borderId="5"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justify" vertical="center" wrapText="1"/>
    </xf>
    <xf numFmtId="4" fontId="6" fillId="4" borderId="1" xfId="0" applyNumberFormat="1"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5" xfId="0" applyFont="1" applyFill="1" applyBorder="1" applyAlignment="1">
      <alignment horizontal="center" vertical="center" wrapText="1"/>
    </xf>
    <xf numFmtId="3" fontId="6" fillId="5" borderId="3" xfId="0" applyNumberFormat="1" applyFont="1" applyFill="1" applyBorder="1" applyAlignment="1">
      <alignment horizontal="center" vertical="center" wrapText="1"/>
    </xf>
    <xf numFmtId="3" fontId="6" fillId="5" borderId="5" xfId="0" applyNumberFormat="1" applyFont="1" applyFill="1" applyBorder="1" applyAlignment="1">
      <alignment horizontal="center" vertical="center" wrapText="1"/>
    </xf>
    <xf numFmtId="4" fontId="6" fillId="5" borderId="10" xfId="0" applyNumberFormat="1" applyFont="1" applyFill="1" applyBorder="1" applyAlignment="1">
      <alignment horizontal="center" vertical="center" wrapText="1"/>
    </xf>
    <xf numFmtId="4" fontId="6" fillId="5" borderId="11" xfId="0" applyNumberFormat="1" applyFont="1" applyFill="1" applyBorder="1" applyAlignment="1">
      <alignment horizontal="center" vertical="center" wrapText="1"/>
    </xf>
    <xf numFmtId="4" fontId="6" fillId="5" borderId="15" xfId="0" applyNumberFormat="1" applyFont="1" applyFill="1" applyBorder="1" applyAlignment="1">
      <alignment horizontal="center" vertical="center" wrapText="1"/>
    </xf>
    <xf numFmtId="4" fontId="6" fillId="5" borderId="16" xfId="0" applyNumberFormat="1"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4" fontId="6" fillId="8" borderId="10" xfId="0" applyNumberFormat="1" applyFont="1" applyFill="1" applyBorder="1" applyAlignment="1">
      <alignment horizontal="center" vertical="center" wrapText="1"/>
    </xf>
    <xf numFmtId="4" fontId="6" fillId="8" borderId="11" xfId="0" applyNumberFormat="1" applyFont="1" applyFill="1" applyBorder="1" applyAlignment="1">
      <alignment horizontal="center" vertical="center" wrapText="1"/>
    </xf>
    <xf numFmtId="4" fontId="6" fillId="8" borderId="13" xfId="0" applyNumberFormat="1" applyFont="1" applyFill="1" applyBorder="1" applyAlignment="1">
      <alignment horizontal="center" vertical="center" wrapText="1"/>
    </xf>
    <xf numFmtId="4" fontId="6" fillId="8" borderId="14" xfId="0" applyNumberFormat="1" applyFont="1" applyFill="1" applyBorder="1" applyAlignment="1">
      <alignment horizontal="center" vertical="center" wrapText="1"/>
    </xf>
    <xf numFmtId="4" fontId="6" fillId="8" borderId="15" xfId="0" applyNumberFormat="1" applyFont="1" applyFill="1" applyBorder="1" applyAlignment="1">
      <alignment horizontal="center" vertical="center" wrapText="1"/>
    </xf>
    <xf numFmtId="4" fontId="6" fillId="8" borderId="16" xfId="0" applyNumberFormat="1"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4" xfId="0" applyFont="1" applyFill="1" applyBorder="1" applyAlignment="1">
      <alignment horizontal="center" vertical="center" wrapText="1"/>
    </xf>
    <xf numFmtId="3" fontId="6" fillId="5" borderId="4" xfId="0" applyNumberFormat="1" applyFont="1" applyFill="1" applyBorder="1" applyAlignment="1">
      <alignment horizontal="center" vertical="center" wrapText="1"/>
    </xf>
    <xf numFmtId="0" fontId="6"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6" fillId="0" borderId="0" xfId="0" applyFont="1" applyAlignment="1">
      <alignment horizontal="left" vertical="center"/>
    </xf>
    <xf numFmtId="0" fontId="4" fillId="7" borderId="0" xfId="0" applyFont="1" applyFill="1" applyAlignment="1">
      <alignment horizontal="left" vertical="center"/>
    </xf>
    <xf numFmtId="3" fontId="6" fillId="4"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vertical="center" wrapText="1"/>
    </xf>
    <xf numFmtId="0" fontId="0" fillId="4" borderId="1" xfId="0" applyFill="1" applyBorder="1" applyAlignment="1">
      <alignment vertical="center" wrapText="1"/>
    </xf>
    <xf numFmtId="0" fontId="4" fillId="0" borderId="6" xfId="0" applyFont="1" applyBorder="1" applyAlignment="1">
      <alignment horizontal="right" vertical="center" wrapText="1"/>
    </xf>
    <xf numFmtId="0" fontId="4" fillId="0" borderId="7" xfId="0" applyFont="1" applyBorder="1" applyAlignment="1">
      <alignment horizontal="right" vertical="center" wrapText="1"/>
    </xf>
    <xf numFmtId="0" fontId="4" fillId="0" borderId="8" xfId="0" applyFont="1" applyBorder="1" applyAlignment="1">
      <alignment horizontal="right" vertical="center" wrapText="1"/>
    </xf>
    <xf numFmtId="0" fontId="6" fillId="0" borderId="9" xfId="0" applyFont="1" applyBorder="1" applyAlignment="1">
      <alignment horizontal="justify" vertical="center"/>
    </xf>
    <xf numFmtId="0" fontId="4" fillId="2" borderId="0" xfId="0" applyFont="1" applyFill="1" applyAlignment="1">
      <alignment horizontal="left" vertical="center"/>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5" xfId="0" applyFill="1" applyBorder="1" applyAlignment="1">
      <alignment horizontal="center" vertical="center" wrapText="1"/>
    </xf>
    <xf numFmtId="0" fontId="0" fillId="0" borderId="5" xfId="0" applyBorder="1" applyAlignment="1">
      <alignment horizontal="center" vertical="center" wrapText="1"/>
    </xf>
    <xf numFmtId="0" fontId="6"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3" fillId="0" borderId="0" xfId="0" applyFont="1" applyAlignment="1">
      <alignment horizontal="left" vertical="center"/>
    </xf>
    <xf numFmtId="0" fontId="0" fillId="4" borderId="4" xfId="0" applyFill="1" applyBorder="1" applyAlignment="1">
      <alignment horizontal="center" wrapText="1"/>
    </xf>
    <xf numFmtId="0" fontId="0" fillId="4" borderId="5" xfId="0" applyFill="1" applyBorder="1" applyAlignment="1">
      <alignment horizontal="center" wrapText="1"/>
    </xf>
    <xf numFmtId="0" fontId="0" fillId="0" borderId="12" xfId="0" applyBorder="1" applyAlignment="1">
      <alignment horizontal="center" wrapText="1"/>
    </xf>
    <xf numFmtId="0" fontId="0" fillId="0" borderId="17" xfId="0" applyBorder="1" applyAlignment="1">
      <alignment horizontal="center" wrapText="1"/>
    </xf>
    <xf numFmtId="0" fontId="10" fillId="0" borderId="0" xfId="0" applyFont="1" applyAlignment="1">
      <alignment horizontal="left" vertical="center"/>
    </xf>
    <xf numFmtId="0" fontId="6" fillId="0" borderId="12" xfId="0" applyFont="1" applyBorder="1" applyAlignment="1">
      <alignment horizontal="center" vertical="center" wrapText="1"/>
    </xf>
    <xf numFmtId="0" fontId="7" fillId="0" borderId="1" xfId="0" applyFont="1" applyBorder="1" applyAlignment="1">
      <alignment horizontal="center"/>
    </xf>
    <xf numFmtId="0" fontId="0" fillId="4" borderId="4"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4BBC-02D0-49FA-97C5-4A85BA271587}">
  <dimension ref="A1:Z202"/>
  <sheetViews>
    <sheetView zoomScaleNormal="70" workbookViewId="0">
      <selection activeCell="B1" sqref="B1:N1"/>
    </sheetView>
  </sheetViews>
  <sheetFormatPr defaultRowHeight="14.4" x14ac:dyDescent="0.3"/>
  <cols>
    <col min="3" max="3" width="22.5546875" customWidth="1"/>
    <col min="4" max="4" width="25.6640625" customWidth="1"/>
    <col min="5" max="5" width="20.33203125" customWidth="1"/>
    <col min="6" max="6" width="14" customWidth="1"/>
    <col min="7" max="8" width="23" customWidth="1"/>
    <col min="9" max="9" width="19.44140625" customWidth="1"/>
    <col min="10" max="10" width="30" customWidth="1"/>
    <col min="11" max="11" width="33" customWidth="1"/>
    <col min="12" max="12" width="28.33203125" customWidth="1"/>
    <col min="13" max="13" width="13.33203125" customWidth="1"/>
    <col min="14" max="14" width="14.5546875" customWidth="1"/>
    <col min="15" max="15" width="20.33203125" customWidth="1"/>
    <col min="16" max="16" width="16.6640625" customWidth="1"/>
    <col min="17" max="17" width="12.33203125" customWidth="1"/>
    <col min="18" max="18" width="12.33203125" bestFit="1" customWidth="1"/>
    <col min="19" max="19" width="11.5546875" customWidth="1"/>
    <col min="20" max="20" width="10.6640625" customWidth="1"/>
    <col min="21" max="22" width="11.33203125" customWidth="1"/>
    <col min="23" max="23" width="12" customWidth="1"/>
    <col min="24" max="24" width="11.44140625" customWidth="1"/>
    <col min="25" max="25" width="11.6640625" customWidth="1"/>
    <col min="259" max="259" width="22.5546875" customWidth="1"/>
    <col min="260" max="260" width="25.6640625" customWidth="1"/>
    <col min="261" max="261" width="20.33203125" customWidth="1"/>
    <col min="262" max="262" width="14" customWidth="1"/>
    <col min="263" max="264" width="23" customWidth="1"/>
    <col min="265" max="265" width="19.44140625" customWidth="1"/>
    <col min="266" max="266" width="30" customWidth="1"/>
    <col min="267" max="267" width="33" customWidth="1"/>
    <col min="268" max="268" width="28.33203125" customWidth="1"/>
    <col min="269" max="269" width="13.33203125" customWidth="1"/>
    <col min="270" max="270" width="14.5546875" customWidth="1"/>
    <col min="271" max="271" width="20.33203125" customWidth="1"/>
    <col min="272" max="272" width="16.6640625" customWidth="1"/>
    <col min="273" max="273" width="12.33203125" customWidth="1"/>
    <col min="274" max="274" width="12.33203125" bestFit="1" customWidth="1"/>
    <col min="275" max="275" width="11.5546875" customWidth="1"/>
    <col min="276" max="276" width="10.6640625" customWidth="1"/>
    <col min="277" max="278" width="11.33203125" customWidth="1"/>
    <col min="279" max="279" width="12" customWidth="1"/>
    <col min="280" max="280" width="11.44140625" customWidth="1"/>
    <col min="281" max="281" width="11.6640625" customWidth="1"/>
    <col min="515" max="515" width="22.5546875" customWidth="1"/>
    <col min="516" max="516" width="25.6640625" customWidth="1"/>
    <col min="517" max="517" width="20.33203125" customWidth="1"/>
    <col min="518" max="518" width="14" customWidth="1"/>
    <col min="519" max="520" width="23" customWidth="1"/>
    <col min="521" max="521" width="19.44140625" customWidth="1"/>
    <col min="522" max="522" width="30" customWidth="1"/>
    <col min="523" max="523" width="33" customWidth="1"/>
    <col min="524" max="524" width="28.33203125" customWidth="1"/>
    <col min="525" max="525" width="13.33203125" customWidth="1"/>
    <col min="526" max="526" width="14.5546875" customWidth="1"/>
    <col min="527" max="527" width="20.33203125" customWidth="1"/>
    <col min="528" max="528" width="16.6640625" customWidth="1"/>
    <col min="529" max="529" width="12.33203125" customWidth="1"/>
    <col min="530" max="530" width="12.33203125" bestFit="1" customWidth="1"/>
    <col min="531" max="531" width="11.5546875" customWidth="1"/>
    <col min="532" max="532" width="10.6640625" customWidth="1"/>
    <col min="533" max="534" width="11.33203125" customWidth="1"/>
    <col min="535" max="535" width="12" customWidth="1"/>
    <col min="536" max="536" width="11.44140625" customWidth="1"/>
    <col min="537" max="537" width="11.6640625" customWidth="1"/>
    <col min="771" max="771" width="22.5546875" customWidth="1"/>
    <col min="772" max="772" width="25.6640625" customWidth="1"/>
    <col min="773" max="773" width="20.33203125" customWidth="1"/>
    <col min="774" max="774" width="14" customWidth="1"/>
    <col min="775" max="776" width="23" customWidth="1"/>
    <col min="777" max="777" width="19.44140625" customWidth="1"/>
    <col min="778" max="778" width="30" customWidth="1"/>
    <col min="779" max="779" width="33" customWidth="1"/>
    <col min="780" max="780" width="28.33203125" customWidth="1"/>
    <col min="781" max="781" width="13.33203125" customWidth="1"/>
    <col min="782" max="782" width="14.5546875" customWidth="1"/>
    <col min="783" max="783" width="20.33203125" customWidth="1"/>
    <col min="784" max="784" width="16.6640625" customWidth="1"/>
    <col min="785" max="785" width="12.33203125" customWidth="1"/>
    <col min="786" max="786" width="12.33203125" bestFit="1" customWidth="1"/>
    <col min="787" max="787" width="11.5546875" customWidth="1"/>
    <col min="788" max="788" width="10.6640625" customWidth="1"/>
    <col min="789" max="790" width="11.33203125" customWidth="1"/>
    <col min="791" max="791" width="12" customWidth="1"/>
    <col min="792" max="792" width="11.44140625" customWidth="1"/>
    <col min="793" max="793" width="11.6640625" customWidth="1"/>
    <col min="1027" max="1027" width="22.5546875" customWidth="1"/>
    <col min="1028" max="1028" width="25.6640625" customWidth="1"/>
    <col min="1029" max="1029" width="20.33203125" customWidth="1"/>
    <col min="1030" max="1030" width="14" customWidth="1"/>
    <col min="1031" max="1032" width="23" customWidth="1"/>
    <col min="1033" max="1033" width="19.44140625" customWidth="1"/>
    <col min="1034" max="1034" width="30" customWidth="1"/>
    <col min="1035" max="1035" width="33" customWidth="1"/>
    <col min="1036" max="1036" width="28.33203125" customWidth="1"/>
    <col min="1037" max="1037" width="13.33203125" customWidth="1"/>
    <col min="1038" max="1038" width="14.5546875" customWidth="1"/>
    <col min="1039" max="1039" width="20.33203125" customWidth="1"/>
    <col min="1040" max="1040" width="16.6640625" customWidth="1"/>
    <col min="1041" max="1041" width="12.33203125" customWidth="1"/>
    <col min="1042" max="1042" width="12.33203125" bestFit="1" customWidth="1"/>
    <col min="1043" max="1043" width="11.5546875" customWidth="1"/>
    <col min="1044" max="1044" width="10.6640625" customWidth="1"/>
    <col min="1045" max="1046" width="11.33203125" customWidth="1"/>
    <col min="1047" max="1047" width="12" customWidth="1"/>
    <col min="1048" max="1048" width="11.44140625" customWidth="1"/>
    <col min="1049" max="1049" width="11.6640625" customWidth="1"/>
    <col min="1283" max="1283" width="22.5546875" customWidth="1"/>
    <col min="1284" max="1284" width="25.6640625" customWidth="1"/>
    <col min="1285" max="1285" width="20.33203125" customWidth="1"/>
    <col min="1286" max="1286" width="14" customWidth="1"/>
    <col min="1287" max="1288" width="23" customWidth="1"/>
    <col min="1289" max="1289" width="19.44140625" customWidth="1"/>
    <col min="1290" max="1290" width="30" customWidth="1"/>
    <col min="1291" max="1291" width="33" customWidth="1"/>
    <col min="1292" max="1292" width="28.33203125" customWidth="1"/>
    <col min="1293" max="1293" width="13.33203125" customWidth="1"/>
    <col min="1294" max="1294" width="14.5546875" customWidth="1"/>
    <col min="1295" max="1295" width="20.33203125" customWidth="1"/>
    <col min="1296" max="1296" width="16.6640625" customWidth="1"/>
    <col min="1297" max="1297" width="12.33203125" customWidth="1"/>
    <col min="1298" max="1298" width="12.33203125" bestFit="1" customWidth="1"/>
    <col min="1299" max="1299" width="11.5546875" customWidth="1"/>
    <col min="1300" max="1300" width="10.6640625" customWidth="1"/>
    <col min="1301" max="1302" width="11.33203125" customWidth="1"/>
    <col min="1303" max="1303" width="12" customWidth="1"/>
    <col min="1304" max="1304" width="11.44140625" customWidth="1"/>
    <col min="1305" max="1305" width="11.6640625" customWidth="1"/>
    <col min="1539" max="1539" width="22.5546875" customWidth="1"/>
    <col min="1540" max="1540" width="25.6640625" customWidth="1"/>
    <col min="1541" max="1541" width="20.33203125" customWidth="1"/>
    <col min="1542" max="1542" width="14" customWidth="1"/>
    <col min="1543" max="1544" width="23" customWidth="1"/>
    <col min="1545" max="1545" width="19.44140625" customWidth="1"/>
    <col min="1546" max="1546" width="30" customWidth="1"/>
    <col min="1547" max="1547" width="33" customWidth="1"/>
    <col min="1548" max="1548" width="28.33203125" customWidth="1"/>
    <col min="1549" max="1549" width="13.33203125" customWidth="1"/>
    <col min="1550" max="1550" width="14.5546875" customWidth="1"/>
    <col min="1551" max="1551" width="20.33203125" customWidth="1"/>
    <col min="1552" max="1552" width="16.6640625" customWidth="1"/>
    <col min="1553" max="1553" width="12.33203125" customWidth="1"/>
    <col min="1554" max="1554" width="12.33203125" bestFit="1" customWidth="1"/>
    <col min="1555" max="1555" width="11.5546875" customWidth="1"/>
    <col min="1556" max="1556" width="10.6640625" customWidth="1"/>
    <col min="1557" max="1558" width="11.33203125" customWidth="1"/>
    <col min="1559" max="1559" width="12" customWidth="1"/>
    <col min="1560" max="1560" width="11.44140625" customWidth="1"/>
    <col min="1561" max="1561" width="11.6640625" customWidth="1"/>
    <col min="1795" max="1795" width="22.5546875" customWidth="1"/>
    <col min="1796" max="1796" width="25.6640625" customWidth="1"/>
    <col min="1797" max="1797" width="20.33203125" customWidth="1"/>
    <col min="1798" max="1798" width="14" customWidth="1"/>
    <col min="1799" max="1800" width="23" customWidth="1"/>
    <col min="1801" max="1801" width="19.44140625" customWidth="1"/>
    <col min="1802" max="1802" width="30" customWidth="1"/>
    <col min="1803" max="1803" width="33" customWidth="1"/>
    <col min="1804" max="1804" width="28.33203125" customWidth="1"/>
    <col min="1805" max="1805" width="13.33203125" customWidth="1"/>
    <col min="1806" max="1806" width="14.5546875" customWidth="1"/>
    <col min="1807" max="1807" width="20.33203125" customWidth="1"/>
    <col min="1808" max="1808" width="16.6640625" customWidth="1"/>
    <col min="1809" max="1809" width="12.33203125" customWidth="1"/>
    <col min="1810" max="1810" width="12.33203125" bestFit="1" customWidth="1"/>
    <col min="1811" max="1811" width="11.5546875" customWidth="1"/>
    <col min="1812" max="1812" width="10.6640625" customWidth="1"/>
    <col min="1813" max="1814" width="11.33203125" customWidth="1"/>
    <col min="1815" max="1815" width="12" customWidth="1"/>
    <col min="1816" max="1816" width="11.44140625" customWidth="1"/>
    <col min="1817" max="1817" width="11.6640625" customWidth="1"/>
    <col min="2051" max="2051" width="22.5546875" customWidth="1"/>
    <col min="2052" max="2052" width="25.6640625" customWidth="1"/>
    <col min="2053" max="2053" width="20.33203125" customWidth="1"/>
    <col min="2054" max="2054" width="14" customWidth="1"/>
    <col min="2055" max="2056" width="23" customWidth="1"/>
    <col min="2057" max="2057" width="19.44140625" customWidth="1"/>
    <col min="2058" max="2058" width="30" customWidth="1"/>
    <col min="2059" max="2059" width="33" customWidth="1"/>
    <col min="2060" max="2060" width="28.33203125" customWidth="1"/>
    <col min="2061" max="2061" width="13.33203125" customWidth="1"/>
    <col min="2062" max="2062" width="14.5546875" customWidth="1"/>
    <col min="2063" max="2063" width="20.33203125" customWidth="1"/>
    <col min="2064" max="2064" width="16.6640625" customWidth="1"/>
    <col min="2065" max="2065" width="12.33203125" customWidth="1"/>
    <col min="2066" max="2066" width="12.33203125" bestFit="1" customWidth="1"/>
    <col min="2067" max="2067" width="11.5546875" customWidth="1"/>
    <col min="2068" max="2068" width="10.6640625" customWidth="1"/>
    <col min="2069" max="2070" width="11.33203125" customWidth="1"/>
    <col min="2071" max="2071" width="12" customWidth="1"/>
    <col min="2072" max="2072" width="11.44140625" customWidth="1"/>
    <col min="2073" max="2073" width="11.6640625" customWidth="1"/>
    <col min="2307" max="2307" width="22.5546875" customWidth="1"/>
    <col min="2308" max="2308" width="25.6640625" customWidth="1"/>
    <col min="2309" max="2309" width="20.33203125" customWidth="1"/>
    <col min="2310" max="2310" width="14" customWidth="1"/>
    <col min="2311" max="2312" width="23" customWidth="1"/>
    <col min="2313" max="2313" width="19.44140625" customWidth="1"/>
    <col min="2314" max="2314" width="30" customWidth="1"/>
    <col min="2315" max="2315" width="33" customWidth="1"/>
    <col min="2316" max="2316" width="28.33203125" customWidth="1"/>
    <col min="2317" max="2317" width="13.33203125" customWidth="1"/>
    <col min="2318" max="2318" width="14.5546875" customWidth="1"/>
    <col min="2319" max="2319" width="20.33203125" customWidth="1"/>
    <col min="2320" max="2320" width="16.6640625" customWidth="1"/>
    <col min="2321" max="2321" width="12.33203125" customWidth="1"/>
    <col min="2322" max="2322" width="12.33203125" bestFit="1" customWidth="1"/>
    <col min="2323" max="2323" width="11.5546875" customWidth="1"/>
    <col min="2324" max="2324" width="10.6640625" customWidth="1"/>
    <col min="2325" max="2326" width="11.33203125" customWidth="1"/>
    <col min="2327" max="2327" width="12" customWidth="1"/>
    <col min="2328" max="2328" width="11.44140625" customWidth="1"/>
    <col min="2329" max="2329" width="11.6640625" customWidth="1"/>
    <col min="2563" max="2563" width="22.5546875" customWidth="1"/>
    <col min="2564" max="2564" width="25.6640625" customWidth="1"/>
    <col min="2565" max="2565" width="20.33203125" customWidth="1"/>
    <col min="2566" max="2566" width="14" customWidth="1"/>
    <col min="2567" max="2568" width="23" customWidth="1"/>
    <col min="2569" max="2569" width="19.44140625" customWidth="1"/>
    <col min="2570" max="2570" width="30" customWidth="1"/>
    <col min="2571" max="2571" width="33" customWidth="1"/>
    <col min="2572" max="2572" width="28.33203125" customWidth="1"/>
    <col min="2573" max="2573" width="13.33203125" customWidth="1"/>
    <col min="2574" max="2574" width="14.5546875" customWidth="1"/>
    <col min="2575" max="2575" width="20.33203125" customWidth="1"/>
    <col min="2576" max="2576" width="16.6640625" customWidth="1"/>
    <col min="2577" max="2577" width="12.33203125" customWidth="1"/>
    <col min="2578" max="2578" width="12.33203125" bestFit="1" customWidth="1"/>
    <col min="2579" max="2579" width="11.5546875" customWidth="1"/>
    <col min="2580" max="2580" width="10.6640625" customWidth="1"/>
    <col min="2581" max="2582" width="11.33203125" customWidth="1"/>
    <col min="2583" max="2583" width="12" customWidth="1"/>
    <col min="2584" max="2584" width="11.44140625" customWidth="1"/>
    <col min="2585" max="2585" width="11.6640625" customWidth="1"/>
    <col min="2819" max="2819" width="22.5546875" customWidth="1"/>
    <col min="2820" max="2820" width="25.6640625" customWidth="1"/>
    <col min="2821" max="2821" width="20.33203125" customWidth="1"/>
    <col min="2822" max="2822" width="14" customWidth="1"/>
    <col min="2823" max="2824" width="23" customWidth="1"/>
    <col min="2825" max="2825" width="19.44140625" customWidth="1"/>
    <col min="2826" max="2826" width="30" customWidth="1"/>
    <col min="2827" max="2827" width="33" customWidth="1"/>
    <col min="2828" max="2828" width="28.33203125" customWidth="1"/>
    <col min="2829" max="2829" width="13.33203125" customWidth="1"/>
    <col min="2830" max="2830" width="14.5546875" customWidth="1"/>
    <col min="2831" max="2831" width="20.33203125" customWidth="1"/>
    <col min="2832" max="2832" width="16.6640625" customWidth="1"/>
    <col min="2833" max="2833" width="12.33203125" customWidth="1"/>
    <col min="2834" max="2834" width="12.33203125" bestFit="1" customWidth="1"/>
    <col min="2835" max="2835" width="11.5546875" customWidth="1"/>
    <col min="2836" max="2836" width="10.6640625" customWidth="1"/>
    <col min="2837" max="2838" width="11.33203125" customWidth="1"/>
    <col min="2839" max="2839" width="12" customWidth="1"/>
    <col min="2840" max="2840" width="11.44140625" customWidth="1"/>
    <col min="2841" max="2841" width="11.6640625" customWidth="1"/>
    <col min="3075" max="3075" width="22.5546875" customWidth="1"/>
    <col min="3076" max="3076" width="25.6640625" customWidth="1"/>
    <col min="3077" max="3077" width="20.33203125" customWidth="1"/>
    <col min="3078" max="3078" width="14" customWidth="1"/>
    <col min="3079" max="3080" width="23" customWidth="1"/>
    <col min="3081" max="3081" width="19.44140625" customWidth="1"/>
    <col min="3082" max="3082" width="30" customWidth="1"/>
    <col min="3083" max="3083" width="33" customWidth="1"/>
    <col min="3084" max="3084" width="28.33203125" customWidth="1"/>
    <col min="3085" max="3085" width="13.33203125" customWidth="1"/>
    <col min="3086" max="3086" width="14.5546875" customWidth="1"/>
    <col min="3087" max="3087" width="20.33203125" customWidth="1"/>
    <col min="3088" max="3088" width="16.6640625" customWidth="1"/>
    <col min="3089" max="3089" width="12.33203125" customWidth="1"/>
    <col min="3090" max="3090" width="12.33203125" bestFit="1" customWidth="1"/>
    <col min="3091" max="3091" width="11.5546875" customWidth="1"/>
    <col min="3092" max="3092" width="10.6640625" customWidth="1"/>
    <col min="3093" max="3094" width="11.33203125" customWidth="1"/>
    <col min="3095" max="3095" width="12" customWidth="1"/>
    <col min="3096" max="3096" width="11.44140625" customWidth="1"/>
    <col min="3097" max="3097" width="11.6640625" customWidth="1"/>
    <col min="3331" max="3331" width="22.5546875" customWidth="1"/>
    <col min="3332" max="3332" width="25.6640625" customWidth="1"/>
    <col min="3333" max="3333" width="20.33203125" customWidth="1"/>
    <col min="3334" max="3334" width="14" customWidth="1"/>
    <col min="3335" max="3336" width="23" customWidth="1"/>
    <col min="3337" max="3337" width="19.44140625" customWidth="1"/>
    <col min="3338" max="3338" width="30" customWidth="1"/>
    <col min="3339" max="3339" width="33" customWidth="1"/>
    <col min="3340" max="3340" width="28.33203125" customWidth="1"/>
    <col min="3341" max="3341" width="13.33203125" customWidth="1"/>
    <col min="3342" max="3342" width="14.5546875" customWidth="1"/>
    <col min="3343" max="3343" width="20.33203125" customWidth="1"/>
    <col min="3344" max="3344" width="16.6640625" customWidth="1"/>
    <col min="3345" max="3345" width="12.33203125" customWidth="1"/>
    <col min="3346" max="3346" width="12.33203125" bestFit="1" customWidth="1"/>
    <col min="3347" max="3347" width="11.5546875" customWidth="1"/>
    <col min="3348" max="3348" width="10.6640625" customWidth="1"/>
    <col min="3349" max="3350" width="11.33203125" customWidth="1"/>
    <col min="3351" max="3351" width="12" customWidth="1"/>
    <col min="3352" max="3352" width="11.44140625" customWidth="1"/>
    <col min="3353" max="3353" width="11.6640625" customWidth="1"/>
    <col min="3587" max="3587" width="22.5546875" customWidth="1"/>
    <col min="3588" max="3588" width="25.6640625" customWidth="1"/>
    <col min="3589" max="3589" width="20.33203125" customWidth="1"/>
    <col min="3590" max="3590" width="14" customWidth="1"/>
    <col min="3591" max="3592" width="23" customWidth="1"/>
    <col min="3593" max="3593" width="19.44140625" customWidth="1"/>
    <col min="3594" max="3594" width="30" customWidth="1"/>
    <col min="3595" max="3595" width="33" customWidth="1"/>
    <col min="3596" max="3596" width="28.33203125" customWidth="1"/>
    <col min="3597" max="3597" width="13.33203125" customWidth="1"/>
    <col min="3598" max="3598" width="14.5546875" customWidth="1"/>
    <col min="3599" max="3599" width="20.33203125" customWidth="1"/>
    <col min="3600" max="3600" width="16.6640625" customWidth="1"/>
    <col min="3601" max="3601" width="12.33203125" customWidth="1"/>
    <col min="3602" max="3602" width="12.33203125" bestFit="1" customWidth="1"/>
    <col min="3603" max="3603" width="11.5546875" customWidth="1"/>
    <col min="3604" max="3604" width="10.6640625" customWidth="1"/>
    <col min="3605" max="3606" width="11.33203125" customWidth="1"/>
    <col min="3607" max="3607" width="12" customWidth="1"/>
    <col min="3608" max="3608" width="11.44140625" customWidth="1"/>
    <col min="3609" max="3609" width="11.6640625" customWidth="1"/>
    <col min="3843" max="3843" width="22.5546875" customWidth="1"/>
    <col min="3844" max="3844" width="25.6640625" customWidth="1"/>
    <col min="3845" max="3845" width="20.33203125" customWidth="1"/>
    <col min="3846" max="3846" width="14" customWidth="1"/>
    <col min="3847" max="3848" width="23" customWidth="1"/>
    <col min="3849" max="3849" width="19.44140625" customWidth="1"/>
    <col min="3850" max="3850" width="30" customWidth="1"/>
    <col min="3851" max="3851" width="33" customWidth="1"/>
    <col min="3852" max="3852" width="28.33203125" customWidth="1"/>
    <col min="3853" max="3853" width="13.33203125" customWidth="1"/>
    <col min="3854" max="3854" width="14.5546875" customWidth="1"/>
    <col min="3855" max="3855" width="20.33203125" customWidth="1"/>
    <col min="3856" max="3856" width="16.6640625" customWidth="1"/>
    <col min="3857" max="3857" width="12.33203125" customWidth="1"/>
    <col min="3858" max="3858" width="12.33203125" bestFit="1" customWidth="1"/>
    <col min="3859" max="3859" width="11.5546875" customWidth="1"/>
    <col min="3860" max="3860" width="10.6640625" customWidth="1"/>
    <col min="3861" max="3862" width="11.33203125" customWidth="1"/>
    <col min="3863" max="3863" width="12" customWidth="1"/>
    <col min="3864" max="3864" width="11.44140625" customWidth="1"/>
    <col min="3865" max="3865" width="11.6640625" customWidth="1"/>
    <col min="4099" max="4099" width="22.5546875" customWidth="1"/>
    <col min="4100" max="4100" width="25.6640625" customWidth="1"/>
    <col min="4101" max="4101" width="20.33203125" customWidth="1"/>
    <col min="4102" max="4102" width="14" customWidth="1"/>
    <col min="4103" max="4104" width="23" customWidth="1"/>
    <col min="4105" max="4105" width="19.44140625" customWidth="1"/>
    <col min="4106" max="4106" width="30" customWidth="1"/>
    <col min="4107" max="4107" width="33" customWidth="1"/>
    <col min="4108" max="4108" width="28.33203125" customWidth="1"/>
    <col min="4109" max="4109" width="13.33203125" customWidth="1"/>
    <col min="4110" max="4110" width="14.5546875" customWidth="1"/>
    <col min="4111" max="4111" width="20.33203125" customWidth="1"/>
    <col min="4112" max="4112" width="16.6640625" customWidth="1"/>
    <col min="4113" max="4113" width="12.33203125" customWidth="1"/>
    <col min="4114" max="4114" width="12.33203125" bestFit="1" customWidth="1"/>
    <col min="4115" max="4115" width="11.5546875" customWidth="1"/>
    <col min="4116" max="4116" width="10.6640625" customWidth="1"/>
    <col min="4117" max="4118" width="11.33203125" customWidth="1"/>
    <col min="4119" max="4119" width="12" customWidth="1"/>
    <col min="4120" max="4120" width="11.44140625" customWidth="1"/>
    <col min="4121" max="4121" width="11.6640625" customWidth="1"/>
    <col min="4355" max="4355" width="22.5546875" customWidth="1"/>
    <col min="4356" max="4356" width="25.6640625" customWidth="1"/>
    <col min="4357" max="4357" width="20.33203125" customWidth="1"/>
    <col min="4358" max="4358" width="14" customWidth="1"/>
    <col min="4359" max="4360" width="23" customWidth="1"/>
    <col min="4361" max="4361" width="19.44140625" customWidth="1"/>
    <col min="4362" max="4362" width="30" customWidth="1"/>
    <col min="4363" max="4363" width="33" customWidth="1"/>
    <col min="4364" max="4364" width="28.33203125" customWidth="1"/>
    <col min="4365" max="4365" width="13.33203125" customWidth="1"/>
    <col min="4366" max="4366" width="14.5546875" customWidth="1"/>
    <col min="4367" max="4367" width="20.33203125" customWidth="1"/>
    <col min="4368" max="4368" width="16.6640625" customWidth="1"/>
    <col min="4369" max="4369" width="12.33203125" customWidth="1"/>
    <col min="4370" max="4370" width="12.33203125" bestFit="1" customWidth="1"/>
    <col min="4371" max="4371" width="11.5546875" customWidth="1"/>
    <col min="4372" max="4372" width="10.6640625" customWidth="1"/>
    <col min="4373" max="4374" width="11.33203125" customWidth="1"/>
    <col min="4375" max="4375" width="12" customWidth="1"/>
    <col min="4376" max="4376" width="11.44140625" customWidth="1"/>
    <col min="4377" max="4377" width="11.6640625" customWidth="1"/>
    <col min="4611" max="4611" width="22.5546875" customWidth="1"/>
    <col min="4612" max="4612" width="25.6640625" customWidth="1"/>
    <col min="4613" max="4613" width="20.33203125" customWidth="1"/>
    <col min="4614" max="4614" width="14" customWidth="1"/>
    <col min="4615" max="4616" width="23" customWidth="1"/>
    <col min="4617" max="4617" width="19.44140625" customWidth="1"/>
    <col min="4618" max="4618" width="30" customWidth="1"/>
    <col min="4619" max="4619" width="33" customWidth="1"/>
    <col min="4620" max="4620" width="28.33203125" customWidth="1"/>
    <col min="4621" max="4621" width="13.33203125" customWidth="1"/>
    <col min="4622" max="4622" width="14.5546875" customWidth="1"/>
    <col min="4623" max="4623" width="20.33203125" customWidth="1"/>
    <col min="4624" max="4624" width="16.6640625" customWidth="1"/>
    <col min="4625" max="4625" width="12.33203125" customWidth="1"/>
    <col min="4626" max="4626" width="12.33203125" bestFit="1" customWidth="1"/>
    <col min="4627" max="4627" width="11.5546875" customWidth="1"/>
    <col min="4628" max="4628" width="10.6640625" customWidth="1"/>
    <col min="4629" max="4630" width="11.33203125" customWidth="1"/>
    <col min="4631" max="4631" width="12" customWidth="1"/>
    <col min="4632" max="4632" width="11.44140625" customWidth="1"/>
    <col min="4633" max="4633" width="11.6640625" customWidth="1"/>
    <col min="4867" max="4867" width="22.5546875" customWidth="1"/>
    <col min="4868" max="4868" width="25.6640625" customWidth="1"/>
    <col min="4869" max="4869" width="20.33203125" customWidth="1"/>
    <col min="4870" max="4870" width="14" customWidth="1"/>
    <col min="4871" max="4872" width="23" customWidth="1"/>
    <col min="4873" max="4873" width="19.44140625" customWidth="1"/>
    <col min="4874" max="4874" width="30" customWidth="1"/>
    <col min="4875" max="4875" width="33" customWidth="1"/>
    <col min="4876" max="4876" width="28.33203125" customWidth="1"/>
    <col min="4877" max="4877" width="13.33203125" customWidth="1"/>
    <col min="4878" max="4878" width="14.5546875" customWidth="1"/>
    <col min="4879" max="4879" width="20.33203125" customWidth="1"/>
    <col min="4880" max="4880" width="16.6640625" customWidth="1"/>
    <col min="4881" max="4881" width="12.33203125" customWidth="1"/>
    <col min="4882" max="4882" width="12.33203125" bestFit="1" customWidth="1"/>
    <col min="4883" max="4883" width="11.5546875" customWidth="1"/>
    <col min="4884" max="4884" width="10.6640625" customWidth="1"/>
    <col min="4885" max="4886" width="11.33203125" customWidth="1"/>
    <col min="4887" max="4887" width="12" customWidth="1"/>
    <col min="4888" max="4888" width="11.44140625" customWidth="1"/>
    <col min="4889" max="4889" width="11.6640625" customWidth="1"/>
    <col min="5123" max="5123" width="22.5546875" customWidth="1"/>
    <col min="5124" max="5124" width="25.6640625" customWidth="1"/>
    <col min="5125" max="5125" width="20.33203125" customWidth="1"/>
    <col min="5126" max="5126" width="14" customWidth="1"/>
    <col min="5127" max="5128" width="23" customWidth="1"/>
    <col min="5129" max="5129" width="19.44140625" customWidth="1"/>
    <col min="5130" max="5130" width="30" customWidth="1"/>
    <col min="5131" max="5131" width="33" customWidth="1"/>
    <col min="5132" max="5132" width="28.33203125" customWidth="1"/>
    <col min="5133" max="5133" width="13.33203125" customWidth="1"/>
    <col min="5134" max="5134" width="14.5546875" customWidth="1"/>
    <col min="5135" max="5135" width="20.33203125" customWidth="1"/>
    <col min="5136" max="5136" width="16.6640625" customWidth="1"/>
    <col min="5137" max="5137" width="12.33203125" customWidth="1"/>
    <col min="5138" max="5138" width="12.33203125" bestFit="1" customWidth="1"/>
    <col min="5139" max="5139" width="11.5546875" customWidth="1"/>
    <col min="5140" max="5140" width="10.6640625" customWidth="1"/>
    <col min="5141" max="5142" width="11.33203125" customWidth="1"/>
    <col min="5143" max="5143" width="12" customWidth="1"/>
    <col min="5144" max="5144" width="11.44140625" customWidth="1"/>
    <col min="5145" max="5145" width="11.6640625" customWidth="1"/>
    <col min="5379" max="5379" width="22.5546875" customWidth="1"/>
    <col min="5380" max="5380" width="25.6640625" customWidth="1"/>
    <col min="5381" max="5381" width="20.33203125" customWidth="1"/>
    <col min="5382" max="5382" width="14" customWidth="1"/>
    <col min="5383" max="5384" width="23" customWidth="1"/>
    <col min="5385" max="5385" width="19.44140625" customWidth="1"/>
    <col min="5386" max="5386" width="30" customWidth="1"/>
    <col min="5387" max="5387" width="33" customWidth="1"/>
    <col min="5388" max="5388" width="28.33203125" customWidth="1"/>
    <col min="5389" max="5389" width="13.33203125" customWidth="1"/>
    <col min="5390" max="5390" width="14.5546875" customWidth="1"/>
    <col min="5391" max="5391" width="20.33203125" customWidth="1"/>
    <col min="5392" max="5392" width="16.6640625" customWidth="1"/>
    <col min="5393" max="5393" width="12.33203125" customWidth="1"/>
    <col min="5394" max="5394" width="12.33203125" bestFit="1" customWidth="1"/>
    <col min="5395" max="5395" width="11.5546875" customWidth="1"/>
    <col min="5396" max="5396" width="10.6640625" customWidth="1"/>
    <col min="5397" max="5398" width="11.33203125" customWidth="1"/>
    <col min="5399" max="5399" width="12" customWidth="1"/>
    <col min="5400" max="5400" width="11.44140625" customWidth="1"/>
    <col min="5401" max="5401" width="11.6640625" customWidth="1"/>
    <col min="5635" max="5635" width="22.5546875" customWidth="1"/>
    <col min="5636" max="5636" width="25.6640625" customWidth="1"/>
    <col min="5637" max="5637" width="20.33203125" customWidth="1"/>
    <col min="5638" max="5638" width="14" customWidth="1"/>
    <col min="5639" max="5640" width="23" customWidth="1"/>
    <col min="5641" max="5641" width="19.44140625" customWidth="1"/>
    <col min="5642" max="5642" width="30" customWidth="1"/>
    <col min="5643" max="5643" width="33" customWidth="1"/>
    <col min="5644" max="5644" width="28.33203125" customWidth="1"/>
    <col min="5645" max="5645" width="13.33203125" customWidth="1"/>
    <col min="5646" max="5646" width="14.5546875" customWidth="1"/>
    <col min="5647" max="5647" width="20.33203125" customWidth="1"/>
    <col min="5648" max="5648" width="16.6640625" customWidth="1"/>
    <col min="5649" max="5649" width="12.33203125" customWidth="1"/>
    <col min="5650" max="5650" width="12.33203125" bestFit="1" customWidth="1"/>
    <col min="5651" max="5651" width="11.5546875" customWidth="1"/>
    <col min="5652" max="5652" width="10.6640625" customWidth="1"/>
    <col min="5653" max="5654" width="11.33203125" customWidth="1"/>
    <col min="5655" max="5655" width="12" customWidth="1"/>
    <col min="5656" max="5656" width="11.44140625" customWidth="1"/>
    <col min="5657" max="5657" width="11.6640625" customWidth="1"/>
    <col min="5891" max="5891" width="22.5546875" customWidth="1"/>
    <col min="5892" max="5892" width="25.6640625" customWidth="1"/>
    <col min="5893" max="5893" width="20.33203125" customWidth="1"/>
    <col min="5894" max="5894" width="14" customWidth="1"/>
    <col min="5895" max="5896" width="23" customWidth="1"/>
    <col min="5897" max="5897" width="19.44140625" customWidth="1"/>
    <col min="5898" max="5898" width="30" customWidth="1"/>
    <col min="5899" max="5899" width="33" customWidth="1"/>
    <col min="5900" max="5900" width="28.33203125" customWidth="1"/>
    <col min="5901" max="5901" width="13.33203125" customWidth="1"/>
    <col min="5902" max="5902" width="14.5546875" customWidth="1"/>
    <col min="5903" max="5903" width="20.33203125" customWidth="1"/>
    <col min="5904" max="5904" width="16.6640625" customWidth="1"/>
    <col min="5905" max="5905" width="12.33203125" customWidth="1"/>
    <col min="5906" max="5906" width="12.33203125" bestFit="1" customWidth="1"/>
    <col min="5907" max="5907" width="11.5546875" customWidth="1"/>
    <col min="5908" max="5908" width="10.6640625" customWidth="1"/>
    <col min="5909" max="5910" width="11.33203125" customWidth="1"/>
    <col min="5911" max="5911" width="12" customWidth="1"/>
    <col min="5912" max="5912" width="11.44140625" customWidth="1"/>
    <col min="5913" max="5913" width="11.6640625" customWidth="1"/>
    <col min="6147" max="6147" width="22.5546875" customWidth="1"/>
    <col min="6148" max="6148" width="25.6640625" customWidth="1"/>
    <col min="6149" max="6149" width="20.33203125" customWidth="1"/>
    <col min="6150" max="6150" width="14" customWidth="1"/>
    <col min="6151" max="6152" width="23" customWidth="1"/>
    <col min="6153" max="6153" width="19.44140625" customWidth="1"/>
    <col min="6154" max="6154" width="30" customWidth="1"/>
    <col min="6155" max="6155" width="33" customWidth="1"/>
    <col min="6156" max="6156" width="28.33203125" customWidth="1"/>
    <col min="6157" max="6157" width="13.33203125" customWidth="1"/>
    <col min="6158" max="6158" width="14.5546875" customWidth="1"/>
    <col min="6159" max="6159" width="20.33203125" customWidth="1"/>
    <col min="6160" max="6160" width="16.6640625" customWidth="1"/>
    <col min="6161" max="6161" width="12.33203125" customWidth="1"/>
    <col min="6162" max="6162" width="12.33203125" bestFit="1" customWidth="1"/>
    <col min="6163" max="6163" width="11.5546875" customWidth="1"/>
    <col min="6164" max="6164" width="10.6640625" customWidth="1"/>
    <col min="6165" max="6166" width="11.33203125" customWidth="1"/>
    <col min="6167" max="6167" width="12" customWidth="1"/>
    <col min="6168" max="6168" width="11.44140625" customWidth="1"/>
    <col min="6169" max="6169" width="11.6640625" customWidth="1"/>
    <col min="6403" max="6403" width="22.5546875" customWidth="1"/>
    <col min="6404" max="6404" width="25.6640625" customWidth="1"/>
    <col min="6405" max="6405" width="20.33203125" customWidth="1"/>
    <col min="6406" max="6406" width="14" customWidth="1"/>
    <col min="6407" max="6408" width="23" customWidth="1"/>
    <col min="6409" max="6409" width="19.44140625" customWidth="1"/>
    <col min="6410" max="6410" width="30" customWidth="1"/>
    <col min="6411" max="6411" width="33" customWidth="1"/>
    <col min="6412" max="6412" width="28.33203125" customWidth="1"/>
    <col min="6413" max="6413" width="13.33203125" customWidth="1"/>
    <col min="6414" max="6414" width="14.5546875" customWidth="1"/>
    <col min="6415" max="6415" width="20.33203125" customWidth="1"/>
    <col min="6416" max="6416" width="16.6640625" customWidth="1"/>
    <col min="6417" max="6417" width="12.33203125" customWidth="1"/>
    <col min="6418" max="6418" width="12.33203125" bestFit="1" customWidth="1"/>
    <col min="6419" max="6419" width="11.5546875" customWidth="1"/>
    <col min="6420" max="6420" width="10.6640625" customWidth="1"/>
    <col min="6421" max="6422" width="11.33203125" customWidth="1"/>
    <col min="6423" max="6423" width="12" customWidth="1"/>
    <col min="6424" max="6424" width="11.44140625" customWidth="1"/>
    <col min="6425" max="6425" width="11.6640625" customWidth="1"/>
    <col min="6659" max="6659" width="22.5546875" customWidth="1"/>
    <col min="6660" max="6660" width="25.6640625" customWidth="1"/>
    <col min="6661" max="6661" width="20.33203125" customWidth="1"/>
    <col min="6662" max="6662" width="14" customWidth="1"/>
    <col min="6663" max="6664" width="23" customWidth="1"/>
    <col min="6665" max="6665" width="19.44140625" customWidth="1"/>
    <col min="6666" max="6666" width="30" customWidth="1"/>
    <col min="6667" max="6667" width="33" customWidth="1"/>
    <col min="6668" max="6668" width="28.33203125" customWidth="1"/>
    <col min="6669" max="6669" width="13.33203125" customWidth="1"/>
    <col min="6670" max="6670" width="14.5546875" customWidth="1"/>
    <col min="6671" max="6671" width="20.33203125" customWidth="1"/>
    <col min="6672" max="6672" width="16.6640625" customWidth="1"/>
    <col min="6673" max="6673" width="12.33203125" customWidth="1"/>
    <col min="6674" max="6674" width="12.33203125" bestFit="1" customWidth="1"/>
    <col min="6675" max="6675" width="11.5546875" customWidth="1"/>
    <col min="6676" max="6676" width="10.6640625" customWidth="1"/>
    <col min="6677" max="6678" width="11.33203125" customWidth="1"/>
    <col min="6679" max="6679" width="12" customWidth="1"/>
    <col min="6680" max="6680" width="11.44140625" customWidth="1"/>
    <col min="6681" max="6681" width="11.6640625" customWidth="1"/>
    <col min="6915" max="6915" width="22.5546875" customWidth="1"/>
    <col min="6916" max="6916" width="25.6640625" customWidth="1"/>
    <col min="6917" max="6917" width="20.33203125" customWidth="1"/>
    <col min="6918" max="6918" width="14" customWidth="1"/>
    <col min="6919" max="6920" width="23" customWidth="1"/>
    <col min="6921" max="6921" width="19.44140625" customWidth="1"/>
    <col min="6922" max="6922" width="30" customWidth="1"/>
    <col min="6923" max="6923" width="33" customWidth="1"/>
    <col min="6924" max="6924" width="28.33203125" customWidth="1"/>
    <col min="6925" max="6925" width="13.33203125" customWidth="1"/>
    <col min="6926" max="6926" width="14.5546875" customWidth="1"/>
    <col min="6927" max="6927" width="20.33203125" customWidth="1"/>
    <col min="6928" max="6928" width="16.6640625" customWidth="1"/>
    <col min="6929" max="6929" width="12.33203125" customWidth="1"/>
    <col min="6930" max="6930" width="12.33203125" bestFit="1" customWidth="1"/>
    <col min="6931" max="6931" width="11.5546875" customWidth="1"/>
    <col min="6932" max="6932" width="10.6640625" customWidth="1"/>
    <col min="6933" max="6934" width="11.33203125" customWidth="1"/>
    <col min="6935" max="6935" width="12" customWidth="1"/>
    <col min="6936" max="6936" width="11.44140625" customWidth="1"/>
    <col min="6937" max="6937" width="11.6640625" customWidth="1"/>
    <col min="7171" max="7171" width="22.5546875" customWidth="1"/>
    <col min="7172" max="7172" width="25.6640625" customWidth="1"/>
    <col min="7173" max="7173" width="20.33203125" customWidth="1"/>
    <col min="7174" max="7174" width="14" customWidth="1"/>
    <col min="7175" max="7176" width="23" customWidth="1"/>
    <col min="7177" max="7177" width="19.44140625" customWidth="1"/>
    <col min="7178" max="7178" width="30" customWidth="1"/>
    <col min="7179" max="7179" width="33" customWidth="1"/>
    <col min="7180" max="7180" width="28.33203125" customWidth="1"/>
    <col min="7181" max="7181" width="13.33203125" customWidth="1"/>
    <col min="7182" max="7182" width="14.5546875" customWidth="1"/>
    <col min="7183" max="7183" width="20.33203125" customWidth="1"/>
    <col min="7184" max="7184" width="16.6640625" customWidth="1"/>
    <col min="7185" max="7185" width="12.33203125" customWidth="1"/>
    <col min="7186" max="7186" width="12.33203125" bestFit="1" customWidth="1"/>
    <col min="7187" max="7187" width="11.5546875" customWidth="1"/>
    <col min="7188" max="7188" width="10.6640625" customWidth="1"/>
    <col min="7189" max="7190" width="11.33203125" customWidth="1"/>
    <col min="7191" max="7191" width="12" customWidth="1"/>
    <col min="7192" max="7192" width="11.44140625" customWidth="1"/>
    <col min="7193" max="7193" width="11.6640625" customWidth="1"/>
    <col min="7427" max="7427" width="22.5546875" customWidth="1"/>
    <col min="7428" max="7428" width="25.6640625" customWidth="1"/>
    <col min="7429" max="7429" width="20.33203125" customWidth="1"/>
    <col min="7430" max="7430" width="14" customWidth="1"/>
    <col min="7431" max="7432" width="23" customWidth="1"/>
    <col min="7433" max="7433" width="19.44140625" customWidth="1"/>
    <col min="7434" max="7434" width="30" customWidth="1"/>
    <col min="7435" max="7435" width="33" customWidth="1"/>
    <col min="7436" max="7436" width="28.33203125" customWidth="1"/>
    <col min="7437" max="7437" width="13.33203125" customWidth="1"/>
    <col min="7438" max="7438" width="14.5546875" customWidth="1"/>
    <col min="7439" max="7439" width="20.33203125" customWidth="1"/>
    <col min="7440" max="7440" width="16.6640625" customWidth="1"/>
    <col min="7441" max="7441" width="12.33203125" customWidth="1"/>
    <col min="7442" max="7442" width="12.33203125" bestFit="1" customWidth="1"/>
    <col min="7443" max="7443" width="11.5546875" customWidth="1"/>
    <col min="7444" max="7444" width="10.6640625" customWidth="1"/>
    <col min="7445" max="7446" width="11.33203125" customWidth="1"/>
    <col min="7447" max="7447" width="12" customWidth="1"/>
    <col min="7448" max="7448" width="11.44140625" customWidth="1"/>
    <col min="7449" max="7449" width="11.6640625" customWidth="1"/>
    <col min="7683" max="7683" width="22.5546875" customWidth="1"/>
    <col min="7684" max="7684" width="25.6640625" customWidth="1"/>
    <col min="7685" max="7685" width="20.33203125" customWidth="1"/>
    <col min="7686" max="7686" width="14" customWidth="1"/>
    <col min="7687" max="7688" width="23" customWidth="1"/>
    <col min="7689" max="7689" width="19.44140625" customWidth="1"/>
    <col min="7690" max="7690" width="30" customWidth="1"/>
    <col min="7691" max="7691" width="33" customWidth="1"/>
    <col min="7692" max="7692" width="28.33203125" customWidth="1"/>
    <col min="7693" max="7693" width="13.33203125" customWidth="1"/>
    <col min="7694" max="7694" width="14.5546875" customWidth="1"/>
    <col min="7695" max="7695" width="20.33203125" customWidth="1"/>
    <col min="7696" max="7696" width="16.6640625" customWidth="1"/>
    <col min="7697" max="7697" width="12.33203125" customWidth="1"/>
    <col min="7698" max="7698" width="12.33203125" bestFit="1" customWidth="1"/>
    <col min="7699" max="7699" width="11.5546875" customWidth="1"/>
    <col min="7700" max="7700" width="10.6640625" customWidth="1"/>
    <col min="7701" max="7702" width="11.33203125" customWidth="1"/>
    <col min="7703" max="7703" width="12" customWidth="1"/>
    <col min="7704" max="7704" width="11.44140625" customWidth="1"/>
    <col min="7705" max="7705" width="11.6640625" customWidth="1"/>
    <col min="7939" max="7939" width="22.5546875" customWidth="1"/>
    <col min="7940" max="7940" width="25.6640625" customWidth="1"/>
    <col min="7941" max="7941" width="20.33203125" customWidth="1"/>
    <col min="7942" max="7942" width="14" customWidth="1"/>
    <col min="7943" max="7944" width="23" customWidth="1"/>
    <col min="7945" max="7945" width="19.44140625" customWidth="1"/>
    <col min="7946" max="7946" width="30" customWidth="1"/>
    <col min="7947" max="7947" width="33" customWidth="1"/>
    <col min="7948" max="7948" width="28.33203125" customWidth="1"/>
    <col min="7949" max="7949" width="13.33203125" customWidth="1"/>
    <col min="7950" max="7950" width="14.5546875" customWidth="1"/>
    <col min="7951" max="7951" width="20.33203125" customWidth="1"/>
    <col min="7952" max="7952" width="16.6640625" customWidth="1"/>
    <col min="7953" max="7953" width="12.33203125" customWidth="1"/>
    <col min="7954" max="7954" width="12.33203125" bestFit="1" customWidth="1"/>
    <col min="7955" max="7955" width="11.5546875" customWidth="1"/>
    <col min="7956" max="7956" width="10.6640625" customWidth="1"/>
    <col min="7957" max="7958" width="11.33203125" customWidth="1"/>
    <col min="7959" max="7959" width="12" customWidth="1"/>
    <col min="7960" max="7960" width="11.44140625" customWidth="1"/>
    <col min="7961" max="7961" width="11.6640625" customWidth="1"/>
    <col min="8195" max="8195" width="22.5546875" customWidth="1"/>
    <col min="8196" max="8196" width="25.6640625" customWidth="1"/>
    <col min="8197" max="8197" width="20.33203125" customWidth="1"/>
    <col min="8198" max="8198" width="14" customWidth="1"/>
    <col min="8199" max="8200" width="23" customWidth="1"/>
    <col min="8201" max="8201" width="19.44140625" customWidth="1"/>
    <col min="8202" max="8202" width="30" customWidth="1"/>
    <col min="8203" max="8203" width="33" customWidth="1"/>
    <col min="8204" max="8204" width="28.33203125" customWidth="1"/>
    <col min="8205" max="8205" width="13.33203125" customWidth="1"/>
    <col min="8206" max="8206" width="14.5546875" customWidth="1"/>
    <col min="8207" max="8207" width="20.33203125" customWidth="1"/>
    <col min="8208" max="8208" width="16.6640625" customWidth="1"/>
    <col min="8209" max="8209" width="12.33203125" customWidth="1"/>
    <col min="8210" max="8210" width="12.33203125" bestFit="1" customWidth="1"/>
    <col min="8211" max="8211" width="11.5546875" customWidth="1"/>
    <col min="8212" max="8212" width="10.6640625" customWidth="1"/>
    <col min="8213" max="8214" width="11.33203125" customWidth="1"/>
    <col min="8215" max="8215" width="12" customWidth="1"/>
    <col min="8216" max="8216" width="11.44140625" customWidth="1"/>
    <col min="8217" max="8217" width="11.6640625" customWidth="1"/>
    <col min="8451" max="8451" width="22.5546875" customWidth="1"/>
    <col min="8452" max="8452" width="25.6640625" customWidth="1"/>
    <col min="8453" max="8453" width="20.33203125" customWidth="1"/>
    <col min="8454" max="8454" width="14" customWidth="1"/>
    <col min="8455" max="8456" width="23" customWidth="1"/>
    <col min="8457" max="8457" width="19.44140625" customWidth="1"/>
    <col min="8458" max="8458" width="30" customWidth="1"/>
    <col min="8459" max="8459" width="33" customWidth="1"/>
    <col min="8460" max="8460" width="28.33203125" customWidth="1"/>
    <col min="8461" max="8461" width="13.33203125" customWidth="1"/>
    <col min="8462" max="8462" width="14.5546875" customWidth="1"/>
    <col min="8463" max="8463" width="20.33203125" customWidth="1"/>
    <col min="8464" max="8464" width="16.6640625" customWidth="1"/>
    <col min="8465" max="8465" width="12.33203125" customWidth="1"/>
    <col min="8466" max="8466" width="12.33203125" bestFit="1" customWidth="1"/>
    <col min="8467" max="8467" width="11.5546875" customWidth="1"/>
    <col min="8468" max="8468" width="10.6640625" customWidth="1"/>
    <col min="8469" max="8470" width="11.33203125" customWidth="1"/>
    <col min="8471" max="8471" width="12" customWidth="1"/>
    <col min="8472" max="8472" width="11.44140625" customWidth="1"/>
    <col min="8473" max="8473" width="11.6640625" customWidth="1"/>
    <col min="8707" max="8707" width="22.5546875" customWidth="1"/>
    <col min="8708" max="8708" width="25.6640625" customWidth="1"/>
    <col min="8709" max="8709" width="20.33203125" customWidth="1"/>
    <col min="8710" max="8710" width="14" customWidth="1"/>
    <col min="8711" max="8712" width="23" customWidth="1"/>
    <col min="8713" max="8713" width="19.44140625" customWidth="1"/>
    <col min="8714" max="8714" width="30" customWidth="1"/>
    <col min="8715" max="8715" width="33" customWidth="1"/>
    <col min="8716" max="8716" width="28.33203125" customWidth="1"/>
    <col min="8717" max="8717" width="13.33203125" customWidth="1"/>
    <col min="8718" max="8718" width="14.5546875" customWidth="1"/>
    <col min="8719" max="8719" width="20.33203125" customWidth="1"/>
    <col min="8720" max="8720" width="16.6640625" customWidth="1"/>
    <col min="8721" max="8721" width="12.33203125" customWidth="1"/>
    <col min="8722" max="8722" width="12.33203125" bestFit="1" customWidth="1"/>
    <col min="8723" max="8723" width="11.5546875" customWidth="1"/>
    <col min="8724" max="8724" width="10.6640625" customWidth="1"/>
    <col min="8725" max="8726" width="11.33203125" customWidth="1"/>
    <col min="8727" max="8727" width="12" customWidth="1"/>
    <col min="8728" max="8728" width="11.44140625" customWidth="1"/>
    <col min="8729" max="8729" width="11.6640625" customWidth="1"/>
    <col min="8963" max="8963" width="22.5546875" customWidth="1"/>
    <col min="8964" max="8964" width="25.6640625" customWidth="1"/>
    <col min="8965" max="8965" width="20.33203125" customWidth="1"/>
    <col min="8966" max="8966" width="14" customWidth="1"/>
    <col min="8967" max="8968" width="23" customWidth="1"/>
    <col min="8969" max="8969" width="19.44140625" customWidth="1"/>
    <col min="8970" max="8970" width="30" customWidth="1"/>
    <col min="8971" max="8971" width="33" customWidth="1"/>
    <col min="8972" max="8972" width="28.33203125" customWidth="1"/>
    <col min="8973" max="8973" width="13.33203125" customWidth="1"/>
    <col min="8974" max="8974" width="14.5546875" customWidth="1"/>
    <col min="8975" max="8975" width="20.33203125" customWidth="1"/>
    <col min="8976" max="8976" width="16.6640625" customWidth="1"/>
    <col min="8977" max="8977" width="12.33203125" customWidth="1"/>
    <col min="8978" max="8978" width="12.33203125" bestFit="1" customWidth="1"/>
    <col min="8979" max="8979" width="11.5546875" customWidth="1"/>
    <col min="8980" max="8980" width="10.6640625" customWidth="1"/>
    <col min="8981" max="8982" width="11.33203125" customWidth="1"/>
    <col min="8983" max="8983" width="12" customWidth="1"/>
    <col min="8984" max="8984" width="11.44140625" customWidth="1"/>
    <col min="8985" max="8985" width="11.6640625" customWidth="1"/>
    <col min="9219" max="9219" width="22.5546875" customWidth="1"/>
    <col min="9220" max="9220" width="25.6640625" customWidth="1"/>
    <col min="9221" max="9221" width="20.33203125" customWidth="1"/>
    <col min="9222" max="9222" width="14" customWidth="1"/>
    <col min="9223" max="9224" width="23" customWidth="1"/>
    <col min="9225" max="9225" width="19.44140625" customWidth="1"/>
    <col min="9226" max="9226" width="30" customWidth="1"/>
    <col min="9227" max="9227" width="33" customWidth="1"/>
    <col min="9228" max="9228" width="28.33203125" customWidth="1"/>
    <col min="9229" max="9229" width="13.33203125" customWidth="1"/>
    <col min="9230" max="9230" width="14.5546875" customWidth="1"/>
    <col min="9231" max="9231" width="20.33203125" customWidth="1"/>
    <col min="9232" max="9232" width="16.6640625" customWidth="1"/>
    <col min="9233" max="9233" width="12.33203125" customWidth="1"/>
    <col min="9234" max="9234" width="12.33203125" bestFit="1" customWidth="1"/>
    <col min="9235" max="9235" width="11.5546875" customWidth="1"/>
    <col min="9236" max="9236" width="10.6640625" customWidth="1"/>
    <col min="9237" max="9238" width="11.33203125" customWidth="1"/>
    <col min="9239" max="9239" width="12" customWidth="1"/>
    <col min="9240" max="9240" width="11.44140625" customWidth="1"/>
    <col min="9241" max="9241" width="11.6640625" customWidth="1"/>
    <col min="9475" max="9475" width="22.5546875" customWidth="1"/>
    <col min="9476" max="9476" width="25.6640625" customWidth="1"/>
    <col min="9477" max="9477" width="20.33203125" customWidth="1"/>
    <col min="9478" max="9478" width="14" customWidth="1"/>
    <col min="9479" max="9480" width="23" customWidth="1"/>
    <col min="9481" max="9481" width="19.44140625" customWidth="1"/>
    <col min="9482" max="9482" width="30" customWidth="1"/>
    <col min="9483" max="9483" width="33" customWidth="1"/>
    <col min="9484" max="9484" width="28.33203125" customWidth="1"/>
    <col min="9485" max="9485" width="13.33203125" customWidth="1"/>
    <col min="9486" max="9486" width="14.5546875" customWidth="1"/>
    <col min="9487" max="9487" width="20.33203125" customWidth="1"/>
    <col min="9488" max="9488" width="16.6640625" customWidth="1"/>
    <col min="9489" max="9489" width="12.33203125" customWidth="1"/>
    <col min="9490" max="9490" width="12.33203125" bestFit="1" customWidth="1"/>
    <col min="9491" max="9491" width="11.5546875" customWidth="1"/>
    <col min="9492" max="9492" width="10.6640625" customWidth="1"/>
    <col min="9493" max="9494" width="11.33203125" customWidth="1"/>
    <col min="9495" max="9495" width="12" customWidth="1"/>
    <col min="9496" max="9496" width="11.44140625" customWidth="1"/>
    <col min="9497" max="9497" width="11.6640625" customWidth="1"/>
    <col min="9731" max="9731" width="22.5546875" customWidth="1"/>
    <col min="9732" max="9732" width="25.6640625" customWidth="1"/>
    <col min="9733" max="9733" width="20.33203125" customWidth="1"/>
    <col min="9734" max="9734" width="14" customWidth="1"/>
    <col min="9735" max="9736" width="23" customWidth="1"/>
    <col min="9737" max="9737" width="19.44140625" customWidth="1"/>
    <col min="9738" max="9738" width="30" customWidth="1"/>
    <col min="9739" max="9739" width="33" customWidth="1"/>
    <col min="9740" max="9740" width="28.33203125" customWidth="1"/>
    <col min="9741" max="9741" width="13.33203125" customWidth="1"/>
    <col min="9742" max="9742" width="14.5546875" customWidth="1"/>
    <col min="9743" max="9743" width="20.33203125" customWidth="1"/>
    <col min="9744" max="9744" width="16.6640625" customWidth="1"/>
    <col min="9745" max="9745" width="12.33203125" customWidth="1"/>
    <col min="9746" max="9746" width="12.33203125" bestFit="1" customWidth="1"/>
    <col min="9747" max="9747" width="11.5546875" customWidth="1"/>
    <col min="9748" max="9748" width="10.6640625" customWidth="1"/>
    <col min="9749" max="9750" width="11.33203125" customWidth="1"/>
    <col min="9751" max="9751" width="12" customWidth="1"/>
    <col min="9752" max="9752" width="11.44140625" customWidth="1"/>
    <col min="9753" max="9753" width="11.6640625" customWidth="1"/>
    <col min="9987" max="9987" width="22.5546875" customWidth="1"/>
    <col min="9988" max="9988" width="25.6640625" customWidth="1"/>
    <col min="9989" max="9989" width="20.33203125" customWidth="1"/>
    <col min="9990" max="9990" width="14" customWidth="1"/>
    <col min="9991" max="9992" width="23" customWidth="1"/>
    <col min="9993" max="9993" width="19.44140625" customWidth="1"/>
    <col min="9994" max="9994" width="30" customWidth="1"/>
    <col min="9995" max="9995" width="33" customWidth="1"/>
    <col min="9996" max="9996" width="28.33203125" customWidth="1"/>
    <col min="9997" max="9997" width="13.33203125" customWidth="1"/>
    <col min="9998" max="9998" width="14.5546875" customWidth="1"/>
    <col min="9999" max="9999" width="20.33203125" customWidth="1"/>
    <col min="10000" max="10000" width="16.6640625" customWidth="1"/>
    <col min="10001" max="10001" width="12.33203125" customWidth="1"/>
    <col min="10002" max="10002" width="12.33203125" bestFit="1" customWidth="1"/>
    <col min="10003" max="10003" width="11.5546875" customWidth="1"/>
    <col min="10004" max="10004" width="10.6640625" customWidth="1"/>
    <col min="10005" max="10006" width="11.33203125" customWidth="1"/>
    <col min="10007" max="10007" width="12" customWidth="1"/>
    <col min="10008" max="10008" width="11.44140625" customWidth="1"/>
    <col min="10009" max="10009" width="11.6640625" customWidth="1"/>
    <col min="10243" max="10243" width="22.5546875" customWidth="1"/>
    <col min="10244" max="10244" width="25.6640625" customWidth="1"/>
    <col min="10245" max="10245" width="20.33203125" customWidth="1"/>
    <col min="10246" max="10246" width="14" customWidth="1"/>
    <col min="10247" max="10248" width="23" customWidth="1"/>
    <col min="10249" max="10249" width="19.44140625" customWidth="1"/>
    <col min="10250" max="10250" width="30" customWidth="1"/>
    <col min="10251" max="10251" width="33" customWidth="1"/>
    <col min="10252" max="10252" width="28.33203125" customWidth="1"/>
    <col min="10253" max="10253" width="13.33203125" customWidth="1"/>
    <col min="10254" max="10254" width="14.5546875" customWidth="1"/>
    <col min="10255" max="10255" width="20.33203125" customWidth="1"/>
    <col min="10256" max="10256" width="16.6640625" customWidth="1"/>
    <col min="10257" max="10257" width="12.33203125" customWidth="1"/>
    <col min="10258" max="10258" width="12.33203125" bestFit="1" customWidth="1"/>
    <col min="10259" max="10259" width="11.5546875" customWidth="1"/>
    <col min="10260" max="10260" width="10.6640625" customWidth="1"/>
    <col min="10261" max="10262" width="11.33203125" customWidth="1"/>
    <col min="10263" max="10263" width="12" customWidth="1"/>
    <col min="10264" max="10264" width="11.44140625" customWidth="1"/>
    <col min="10265" max="10265" width="11.6640625" customWidth="1"/>
    <col min="10499" max="10499" width="22.5546875" customWidth="1"/>
    <col min="10500" max="10500" width="25.6640625" customWidth="1"/>
    <col min="10501" max="10501" width="20.33203125" customWidth="1"/>
    <col min="10502" max="10502" width="14" customWidth="1"/>
    <col min="10503" max="10504" width="23" customWidth="1"/>
    <col min="10505" max="10505" width="19.44140625" customWidth="1"/>
    <col min="10506" max="10506" width="30" customWidth="1"/>
    <col min="10507" max="10507" width="33" customWidth="1"/>
    <col min="10508" max="10508" width="28.33203125" customWidth="1"/>
    <col min="10509" max="10509" width="13.33203125" customWidth="1"/>
    <col min="10510" max="10510" width="14.5546875" customWidth="1"/>
    <col min="10511" max="10511" width="20.33203125" customWidth="1"/>
    <col min="10512" max="10512" width="16.6640625" customWidth="1"/>
    <col min="10513" max="10513" width="12.33203125" customWidth="1"/>
    <col min="10514" max="10514" width="12.33203125" bestFit="1" customWidth="1"/>
    <col min="10515" max="10515" width="11.5546875" customWidth="1"/>
    <col min="10516" max="10516" width="10.6640625" customWidth="1"/>
    <col min="10517" max="10518" width="11.33203125" customWidth="1"/>
    <col min="10519" max="10519" width="12" customWidth="1"/>
    <col min="10520" max="10520" width="11.44140625" customWidth="1"/>
    <col min="10521" max="10521" width="11.6640625" customWidth="1"/>
    <col min="10755" max="10755" width="22.5546875" customWidth="1"/>
    <col min="10756" max="10756" width="25.6640625" customWidth="1"/>
    <col min="10757" max="10757" width="20.33203125" customWidth="1"/>
    <col min="10758" max="10758" width="14" customWidth="1"/>
    <col min="10759" max="10760" width="23" customWidth="1"/>
    <col min="10761" max="10761" width="19.44140625" customWidth="1"/>
    <col min="10762" max="10762" width="30" customWidth="1"/>
    <col min="10763" max="10763" width="33" customWidth="1"/>
    <col min="10764" max="10764" width="28.33203125" customWidth="1"/>
    <col min="10765" max="10765" width="13.33203125" customWidth="1"/>
    <col min="10766" max="10766" width="14.5546875" customWidth="1"/>
    <col min="10767" max="10767" width="20.33203125" customWidth="1"/>
    <col min="10768" max="10768" width="16.6640625" customWidth="1"/>
    <col min="10769" max="10769" width="12.33203125" customWidth="1"/>
    <col min="10770" max="10770" width="12.33203125" bestFit="1" customWidth="1"/>
    <col min="10771" max="10771" width="11.5546875" customWidth="1"/>
    <col min="10772" max="10772" width="10.6640625" customWidth="1"/>
    <col min="10773" max="10774" width="11.33203125" customWidth="1"/>
    <col min="10775" max="10775" width="12" customWidth="1"/>
    <col min="10776" max="10776" width="11.44140625" customWidth="1"/>
    <col min="10777" max="10777" width="11.6640625" customWidth="1"/>
    <col min="11011" max="11011" width="22.5546875" customWidth="1"/>
    <col min="11012" max="11012" width="25.6640625" customWidth="1"/>
    <col min="11013" max="11013" width="20.33203125" customWidth="1"/>
    <col min="11014" max="11014" width="14" customWidth="1"/>
    <col min="11015" max="11016" width="23" customWidth="1"/>
    <col min="11017" max="11017" width="19.44140625" customWidth="1"/>
    <col min="11018" max="11018" width="30" customWidth="1"/>
    <col min="11019" max="11019" width="33" customWidth="1"/>
    <col min="11020" max="11020" width="28.33203125" customWidth="1"/>
    <col min="11021" max="11021" width="13.33203125" customWidth="1"/>
    <col min="11022" max="11022" width="14.5546875" customWidth="1"/>
    <col min="11023" max="11023" width="20.33203125" customWidth="1"/>
    <col min="11024" max="11024" width="16.6640625" customWidth="1"/>
    <col min="11025" max="11025" width="12.33203125" customWidth="1"/>
    <col min="11026" max="11026" width="12.33203125" bestFit="1" customWidth="1"/>
    <col min="11027" max="11027" width="11.5546875" customWidth="1"/>
    <col min="11028" max="11028" width="10.6640625" customWidth="1"/>
    <col min="11029" max="11030" width="11.33203125" customWidth="1"/>
    <col min="11031" max="11031" width="12" customWidth="1"/>
    <col min="11032" max="11032" width="11.44140625" customWidth="1"/>
    <col min="11033" max="11033" width="11.6640625" customWidth="1"/>
    <col min="11267" max="11267" width="22.5546875" customWidth="1"/>
    <col min="11268" max="11268" width="25.6640625" customWidth="1"/>
    <col min="11269" max="11269" width="20.33203125" customWidth="1"/>
    <col min="11270" max="11270" width="14" customWidth="1"/>
    <col min="11271" max="11272" width="23" customWidth="1"/>
    <col min="11273" max="11273" width="19.44140625" customWidth="1"/>
    <col min="11274" max="11274" width="30" customWidth="1"/>
    <col min="11275" max="11275" width="33" customWidth="1"/>
    <col min="11276" max="11276" width="28.33203125" customWidth="1"/>
    <col min="11277" max="11277" width="13.33203125" customWidth="1"/>
    <col min="11278" max="11278" width="14.5546875" customWidth="1"/>
    <col min="11279" max="11279" width="20.33203125" customWidth="1"/>
    <col min="11280" max="11280" width="16.6640625" customWidth="1"/>
    <col min="11281" max="11281" width="12.33203125" customWidth="1"/>
    <col min="11282" max="11282" width="12.33203125" bestFit="1" customWidth="1"/>
    <col min="11283" max="11283" width="11.5546875" customWidth="1"/>
    <col min="11284" max="11284" width="10.6640625" customWidth="1"/>
    <col min="11285" max="11286" width="11.33203125" customWidth="1"/>
    <col min="11287" max="11287" width="12" customWidth="1"/>
    <col min="11288" max="11288" width="11.44140625" customWidth="1"/>
    <col min="11289" max="11289" width="11.6640625" customWidth="1"/>
    <col min="11523" max="11523" width="22.5546875" customWidth="1"/>
    <col min="11524" max="11524" width="25.6640625" customWidth="1"/>
    <col min="11525" max="11525" width="20.33203125" customWidth="1"/>
    <col min="11526" max="11526" width="14" customWidth="1"/>
    <col min="11527" max="11528" width="23" customWidth="1"/>
    <col min="11529" max="11529" width="19.44140625" customWidth="1"/>
    <col min="11530" max="11530" width="30" customWidth="1"/>
    <col min="11531" max="11531" width="33" customWidth="1"/>
    <col min="11532" max="11532" width="28.33203125" customWidth="1"/>
    <col min="11533" max="11533" width="13.33203125" customWidth="1"/>
    <col min="11534" max="11534" width="14.5546875" customWidth="1"/>
    <col min="11535" max="11535" width="20.33203125" customWidth="1"/>
    <col min="11536" max="11536" width="16.6640625" customWidth="1"/>
    <col min="11537" max="11537" width="12.33203125" customWidth="1"/>
    <col min="11538" max="11538" width="12.33203125" bestFit="1" customWidth="1"/>
    <col min="11539" max="11539" width="11.5546875" customWidth="1"/>
    <col min="11540" max="11540" width="10.6640625" customWidth="1"/>
    <col min="11541" max="11542" width="11.33203125" customWidth="1"/>
    <col min="11543" max="11543" width="12" customWidth="1"/>
    <col min="11544" max="11544" width="11.44140625" customWidth="1"/>
    <col min="11545" max="11545" width="11.6640625" customWidth="1"/>
    <col min="11779" max="11779" width="22.5546875" customWidth="1"/>
    <col min="11780" max="11780" width="25.6640625" customWidth="1"/>
    <col min="11781" max="11781" width="20.33203125" customWidth="1"/>
    <col min="11782" max="11782" width="14" customWidth="1"/>
    <col min="11783" max="11784" width="23" customWidth="1"/>
    <col min="11785" max="11785" width="19.44140625" customWidth="1"/>
    <col min="11786" max="11786" width="30" customWidth="1"/>
    <col min="11787" max="11787" width="33" customWidth="1"/>
    <col min="11788" max="11788" width="28.33203125" customWidth="1"/>
    <col min="11789" max="11789" width="13.33203125" customWidth="1"/>
    <col min="11790" max="11790" width="14.5546875" customWidth="1"/>
    <col min="11791" max="11791" width="20.33203125" customWidth="1"/>
    <col min="11792" max="11792" width="16.6640625" customWidth="1"/>
    <col min="11793" max="11793" width="12.33203125" customWidth="1"/>
    <col min="11794" max="11794" width="12.33203125" bestFit="1" customWidth="1"/>
    <col min="11795" max="11795" width="11.5546875" customWidth="1"/>
    <col min="11796" max="11796" width="10.6640625" customWidth="1"/>
    <col min="11797" max="11798" width="11.33203125" customWidth="1"/>
    <col min="11799" max="11799" width="12" customWidth="1"/>
    <col min="11800" max="11800" width="11.44140625" customWidth="1"/>
    <col min="11801" max="11801" width="11.6640625" customWidth="1"/>
    <col min="12035" max="12035" width="22.5546875" customWidth="1"/>
    <col min="12036" max="12036" width="25.6640625" customWidth="1"/>
    <col min="12037" max="12037" width="20.33203125" customWidth="1"/>
    <col min="12038" max="12038" width="14" customWidth="1"/>
    <col min="12039" max="12040" width="23" customWidth="1"/>
    <col min="12041" max="12041" width="19.44140625" customWidth="1"/>
    <col min="12042" max="12042" width="30" customWidth="1"/>
    <col min="12043" max="12043" width="33" customWidth="1"/>
    <col min="12044" max="12044" width="28.33203125" customWidth="1"/>
    <col min="12045" max="12045" width="13.33203125" customWidth="1"/>
    <col min="12046" max="12046" width="14.5546875" customWidth="1"/>
    <col min="12047" max="12047" width="20.33203125" customWidth="1"/>
    <col min="12048" max="12048" width="16.6640625" customWidth="1"/>
    <col min="12049" max="12049" width="12.33203125" customWidth="1"/>
    <col min="12050" max="12050" width="12.33203125" bestFit="1" customWidth="1"/>
    <col min="12051" max="12051" width="11.5546875" customWidth="1"/>
    <col min="12052" max="12052" width="10.6640625" customWidth="1"/>
    <col min="12053" max="12054" width="11.33203125" customWidth="1"/>
    <col min="12055" max="12055" width="12" customWidth="1"/>
    <col min="12056" max="12056" width="11.44140625" customWidth="1"/>
    <col min="12057" max="12057" width="11.6640625" customWidth="1"/>
    <col min="12291" max="12291" width="22.5546875" customWidth="1"/>
    <col min="12292" max="12292" width="25.6640625" customWidth="1"/>
    <col min="12293" max="12293" width="20.33203125" customWidth="1"/>
    <col min="12294" max="12294" width="14" customWidth="1"/>
    <col min="12295" max="12296" width="23" customWidth="1"/>
    <col min="12297" max="12297" width="19.44140625" customWidth="1"/>
    <col min="12298" max="12298" width="30" customWidth="1"/>
    <col min="12299" max="12299" width="33" customWidth="1"/>
    <col min="12300" max="12300" width="28.33203125" customWidth="1"/>
    <col min="12301" max="12301" width="13.33203125" customWidth="1"/>
    <col min="12302" max="12302" width="14.5546875" customWidth="1"/>
    <col min="12303" max="12303" width="20.33203125" customWidth="1"/>
    <col min="12304" max="12304" width="16.6640625" customWidth="1"/>
    <col min="12305" max="12305" width="12.33203125" customWidth="1"/>
    <col min="12306" max="12306" width="12.33203125" bestFit="1" customWidth="1"/>
    <col min="12307" max="12307" width="11.5546875" customWidth="1"/>
    <col min="12308" max="12308" width="10.6640625" customWidth="1"/>
    <col min="12309" max="12310" width="11.33203125" customWidth="1"/>
    <col min="12311" max="12311" width="12" customWidth="1"/>
    <col min="12312" max="12312" width="11.44140625" customWidth="1"/>
    <col min="12313" max="12313" width="11.6640625" customWidth="1"/>
    <col min="12547" max="12547" width="22.5546875" customWidth="1"/>
    <col min="12548" max="12548" width="25.6640625" customWidth="1"/>
    <col min="12549" max="12549" width="20.33203125" customWidth="1"/>
    <col min="12550" max="12550" width="14" customWidth="1"/>
    <col min="12551" max="12552" width="23" customWidth="1"/>
    <col min="12553" max="12553" width="19.44140625" customWidth="1"/>
    <col min="12554" max="12554" width="30" customWidth="1"/>
    <col min="12555" max="12555" width="33" customWidth="1"/>
    <col min="12556" max="12556" width="28.33203125" customWidth="1"/>
    <col min="12557" max="12557" width="13.33203125" customWidth="1"/>
    <col min="12558" max="12558" width="14.5546875" customWidth="1"/>
    <col min="12559" max="12559" width="20.33203125" customWidth="1"/>
    <col min="12560" max="12560" width="16.6640625" customWidth="1"/>
    <col min="12561" max="12561" width="12.33203125" customWidth="1"/>
    <col min="12562" max="12562" width="12.33203125" bestFit="1" customWidth="1"/>
    <col min="12563" max="12563" width="11.5546875" customWidth="1"/>
    <col min="12564" max="12564" width="10.6640625" customWidth="1"/>
    <col min="12565" max="12566" width="11.33203125" customWidth="1"/>
    <col min="12567" max="12567" width="12" customWidth="1"/>
    <col min="12568" max="12568" width="11.44140625" customWidth="1"/>
    <col min="12569" max="12569" width="11.6640625" customWidth="1"/>
    <col min="12803" max="12803" width="22.5546875" customWidth="1"/>
    <col min="12804" max="12804" width="25.6640625" customWidth="1"/>
    <col min="12805" max="12805" width="20.33203125" customWidth="1"/>
    <col min="12806" max="12806" width="14" customWidth="1"/>
    <col min="12807" max="12808" width="23" customWidth="1"/>
    <col min="12809" max="12809" width="19.44140625" customWidth="1"/>
    <col min="12810" max="12810" width="30" customWidth="1"/>
    <col min="12811" max="12811" width="33" customWidth="1"/>
    <col min="12812" max="12812" width="28.33203125" customWidth="1"/>
    <col min="12813" max="12813" width="13.33203125" customWidth="1"/>
    <col min="12814" max="12814" width="14.5546875" customWidth="1"/>
    <col min="12815" max="12815" width="20.33203125" customWidth="1"/>
    <col min="12816" max="12816" width="16.6640625" customWidth="1"/>
    <col min="12817" max="12817" width="12.33203125" customWidth="1"/>
    <col min="12818" max="12818" width="12.33203125" bestFit="1" customWidth="1"/>
    <col min="12819" max="12819" width="11.5546875" customWidth="1"/>
    <col min="12820" max="12820" width="10.6640625" customWidth="1"/>
    <col min="12821" max="12822" width="11.33203125" customWidth="1"/>
    <col min="12823" max="12823" width="12" customWidth="1"/>
    <col min="12824" max="12824" width="11.44140625" customWidth="1"/>
    <col min="12825" max="12825" width="11.6640625" customWidth="1"/>
    <col min="13059" max="13059" width="22.5546875" customWidth="1"/>
    <col min="13060" max="13060" width="25.6640625" customWidth="1"/>
    <col min="13061" max="13061" width="20.33203125" customWidth="1"/>
    <col min="13062" max="13062" width="14" customWidth="1"/>
    <col min="13063" max="13064" width="23" customWidth="1"/>
    <col min="13065" max="13065" width="19.44140625" customWidth="1"/>
    <col min="13066" max="13066" width="30" customWidth="1"/>
    <col min="13067" max="13067" width="33" customWidth="1"/>
    <col min="13068" max="13068" width="28.33203125" customWidth="1"/>
    <col min="13069" max="13069" width="13.33203125" customWidth="1"/>
    <col min="13070" max="13070" width="14.5546875" customWidth="1"/>
    <col min="13071" max="13071" width="20.33203125" customWidth="1"/>
    <col min="13072" max="13072" width="16.6640625" customWidth="1"/>
    <col min="13073" max="13073" width="12.33203125" customWidth="1"/>
    <col min="13074" max="13074" width="12.33203125" bestFit="1" customWidth="1"/>
    <col min="13075" max="13075" width="11.5546875" customWidth="1"/>
    <col min="13076" max="13076" width="10.6640625" customWidth="1"/>
    <col min="13077" max="13078" width="11.33203125" customWidth="1"/>
    <col min="13079" max="13079" width="12" customWidth="1"/>
    <col min="13080" max="13080" width="11.44140625" customWidth="1"/>
    <col min="13081" max="13081" width="11.6640625" customWidth="1"/>
    <col min="13315" max="13315" width="22.5546875" customWidth="1"/>
    <col min="13316" max="13316" width="25.6640625" customWidth="1"/>
    <col min="13317" max="13317" width="20.33203125" customWidth="1"/>
    <col min="13318" max="13318" width="14" customWidth="1"/>
    <col min="13319" max="13320" width="23" customWidth="1"/>
    <col min="13321" max="13321" width="19.44140625" customWidth="1"/>
    <col min="13322" max="13322" width="30" customWidth="1"/>
    <col min="13323" max="13323" width="33" customWidth="1"/>
    <col min="13324" max="13324" width="28.33203125" customWidth="1"/>
    <col min="13325" max="13325" width="13.33203125" customWidth="1"/>
    <col min="13326" max="13326" width="14.5546875" customWidth="1"/>
    <col min="13327" max="13327" width="20.33203125" customWidth="1"/>
    <col min="13328" max="13328" width="16.6640625" customWidth="1"/>
    <col min="13329" max="13329" width="12.33203125" customWidth="1"/>
    <col min="13330" max="13330" width="12.33203125" bestFit="1" customWidth="1"/>
    <col min="13331" max="13331" width="11.5546875" customWidth="1"/>
    <col min="13332" max="13332" width="10.6640625" customWidth="1"/>
    <col min="13333" max="13334" width="11.33203125" customWidth="1"/>
    <col min="13335" max="13335" width="12" customWidth="1"/>
    <col min="13336" max="13336" width="11.44140625" customWidth="1"/>
    <col min="13337" max="13337" width="11.6640625" customWidth="1"/>
    <col min="13571" max="13571" width="22.5546875" customWidth="1"/>
    <col min="13572" max="13572" width="25.6640625" customWidth="1"/>
    <col min="13573" max="13573" width="20.33203125" customWidth="1"/>
    <col min="13574" max="13574" width="14" customWidth="1"/>
    <col min="13575" max="13576" width="23" customWidth="1"/>
    <col min="13577" max="13577" width="19.44140625" customWidth="1"/>
    <col min="13578" max="13578" width="30" customWidth="1"/>
    <col min="13579" max="13579" width="33" customWidth="1"/>
    <col min="13580" max="13580" width="28.33203125" customWidth="1"/>
    <col min="13581" max="13581" width="13.33203125" customWidth="1"/>
    <col min="13582" max="13582" width="14.5546875" customWidth="1"/>
    <col min="13583" max="13583" width="20.33203125" customWidth="1"/>
    <col min="13584" max="13584" width="16.6640625" customWidth="1"/>
    <col min="13585" max="13585" width="12.33203125" customWidth="1"/>
    <col min="13586" max="13586" width="12.33203125" bestFit="1" customWidth="1"/>
    <col min="13587" max="13587" width="11.5546875" customWidth="1"/>
    <col min="13588" max="13588" width="10.6640625" customWidth="1"/>
    <col min="13589" max="13590" width="11.33203125" customWidth="1"/>
    <col min="13591" max="13591" width="12" customWidth="1"/>
    <col min="13592" max="13592" width="11.44140625" customWidth="1"/>
    <col min="13593" max="13593" width="11.6640625" customWidth="1"/>
    <col min="13827" max="13827" width="22.5546875" customWidth="1"/>
    <col min="13828" max="13828" width="25.6640625" customWidth="1"/>
    <col min="13829" max="13829" width="20.33203125" customWidth="1"/>
    <col min="13830" max="13830" width="14" customWidth="1"/>
    <col min="13831" max="13832" width="23" customWidth="1"/>
    <col min="13833" max="13833" width="19.44140625" customWidth="1"/>
    <col min="13834" max="13834" width="30" customWidth="1"/>
    <col min="13835" max="13835" width="33" customWidth="1"/>
    <col min="13836" max="13836" width="28.33203125" customWidth="1"/>
    <col min="13837" max="13837" width="13.33203125" customWidth="1"/>
    <col min="13838" max="13838" width="14.5546875" customWidth="1"/>
    <col min="13839" max="13839" width="20.33203125" customWidth="1"/>
    <col min="13840" max="13840" width="16.6640625" customWidth="1"/>
    <col min="13841" max="13841" width="12.33203125" customWidth="1"/>
    <col min="13842" max="13842" width="12.33203125" bestFit="1" customWidth="1"/>
    <col min="13843" max="13843" width="11.5546875" customWidth="1"/>
    <col min="13844" max="13844" width="10.6640625" customWidth="1"/>
    <col min="13845" max="13846" width="11.33203125" customWidth="1"/>
    <col min="13847" max="13847" width="12" customWidth="1"/>
    <col min="13848" max="13848" width="11.44140625" customWidth="1"/>
    <col min="13849" max="13849" width="11.6640625" customWidth="1"/>
    <col min="14083" max="14083" width="22.5546875" customWidth="1"/>
    <col min="14084" max="14084" width="25.6640625" customWidth="1"/>
    <col min="14085" max="14085" width="20.33203125" customWidth="1"/>
    <col min="14086" max="14086" width="14" customWidth="1"/>
    <col min="14087" max="14088" width="23" customWidth="1"/>
    <col min="14089" max="14089" width="19.44140625" customWidth="1"/>
    <col min="14090" max="14090" width="30" customWidth="1"/>
    <col min="14091" max="14091" width="33" customWidth="1"/>
    <col min="14092" max="14092" width="28.33203125" customWidth="1"/>
    <col min="14093" max="14093" width="13.33203125" customWidth="1"/>
    <col min="14094" max="14094" width="14.5546875" customWidth="1"/>
    <col min="14095" max="14095" width="20.33203125" customWidth="1"/>
    <col min="14096" max="14096" width="16.6640625" customWidth="1"/>
    <col min="14097" max="14097" width="12.33203125" customWidth="1"/>
    <col min="14098" max="14098" width="12.33203125" bestFit="1" customWidth="1"/>
    <col min="14099" max="14099" width="11.5546875" customWidth="1"/>
    <col min="14100" max="14100" width="10.6640625" customWidth="1"/>
    <col min="14101" max="14102" width="11.33203125" customWidth="1"/>
    <col min="14103" max="14103" width="12" customWidth="1"/>
    <col min="14104" max="14104" width="11.44140625" customWidth="1"/>
    <col min="14105" max="14105" width="11.6640625" customWidth="1"/>
    <col min="14339" max="14339" width="22.5546875" customWidth="1"/>
    <col min="14340" max="14340" width="25.6640625" customWidth="1"/>
    <col min="14341" max="14341" width="20.33203125" customWidth="1"/>
    <col min="14342" max="14342" width="14" customWidth="1"/>
    <col min="14343" max="14344" width="23" customWidth="1"/>
    <col min="14345" max="14345" width="19.44140625" customWidth="1"/>
    <col min="14346" max="14346" width="30" customWidth="1"/>
    <col min="14347" max="14347" width="33" customWidth="1"/>
    <col min="14348" max="14348" width="28.33203125" customWidth="1"/>
    <col min="14349" max="14349" width="13.33203125" customWidth="1"/>
    <col min="14350" max="14350" width="14.5546875" customWidth="1"/>
    <col min="14351" max="14351" width="20.33203125" customWidth="1"/>
    <col min="14352" max="14352" width="16.6640625" customWidth="1"/>
    <col min="14353" max="14353" width="12.33203125" customWidth="1"/>
    <col min="14354" max="14354" width="12.33203125" bestFit="1" customWidth="1"/>
    <col min="14355" max="14355" width="11.5546875" customWidth="1"/>
    <col min="14356" max="14356" width="10.6640625" customWidth="1"/>
    <col min="14357" max="14358" width="11.33203125" customWidth="1"/>
    <col min="14359" max="14359" width="12" customWidth="1"/>
    <col min="14360" max="14360" width="11.44140625" customWidth="1"/>
    <col min="14361" max="14361" width="11.6640625" customWidth="1"/>
    <col min="14595" max="14595" width="22.5546875" customWidth="1"/>
    <col min="14596" max="14596" width="25.6640625" customWidth="1"/>
    <col min="14597" max="14597" width="20.33203125" customWidth="1"/>
    <col min="14598" max="14598" width="14" customWidth="1"/>
    <col min="14599" max="14600" width="23" customWidth="1"/>
    <col min="14601" max="14601" width="19.44140625" customWidth="1"/>
    <col min="14602" max="14602" width="30" customWidth="1"/>
    <col min="14603" max="14603" width="33" customWidth="1"/>
    <col min="14604" max="14604" width="28.33203125" customWidth="1"/>
    <col min="14605" max="14605" width="13.33203125" customWidth="1"/>
    <col min="14606" max="14606" width="14.5546875" customWidth="1"/>
    <col min="14607" max="14607" width="20.33203125" customWidth="1"/>
    <col min="14608" max="14608" width="16.6640625" customWidth="1"/>
    <col min="14609" max="14609" width="12.33203125" customWidth="1"/>
    <col min="14610" max="14610" width="12.33203125" bestFit="1" customWidth="1"/>
    <col min="14611" max="14611" width="11.5546875" customWidth="1"/>
    <col min="14612" max="14612" width="10.6640625" customWidth="1"/>
    <col min="14613" max="14614" width="11.33203125" customWidth="1"/>
    <col min="14615" max="14615" width="12" customWidth="1"/>
    <col min="14616" max="14616" width="11.44140625" customWidth="1"/>
    <col min="14617" max="14617" width="11.6640625" customWidth="1"/>
    <col min="14851" max="14851" width="22.5546875" customWidth="1"/>
    <col min="14852" max="14852" width="25.6640625" customWidth="1"/>
    <col min="14853" max="14853" width="20.33203125" customWidth="1"/>
    <col min="14854" max="14854" width="14" customWidth="1"/>
    <col min="14855" max="14856" width="23" customWidth="1"/>
    <col min="14857" max="14857" width="19.44140625" customWidth="1"/>
    <col min="14858" max="14858" width="30" customWidth="1"/>
    <col min="14859" max="14859" width="33" customWidth="1"/>
    <col min="14860" max="14860" width="28.33203125" customWidth="1"/>
    <col min="14861" max="14861" width="13.33203125" customWidth="1"/>
    <col min="14862" max="14862" width="14.5546875" customWidth="1"/>
    <col min="14863" max="14863" width="20.33203125" customWidth="1"/>
    <col min="14864" max="14864" width="16.6640625" customWidth="1"/>
    <col min="14865" max="14865" width="12.33203125" customWidth="1"/>
    <col min="14866" max="14866" width="12.33203125" bestFit="1" customWidth="1"/>
    <col min="14867" max="14867" width="11.5546875" customWidth="1"/>
    <col min="14868" max="14868" width="10.6640625" customWidth="1"/>
    <col min="14869" max="14870" width="11.33203125" customWidth="1"/>
    <col min="14871" max="14871" width="12" customWidth="1"/>
    <col min="14872" max="14872" width="11.44140625" customWidth="1"/>
    <col min="14873" max="14873" width="11.6640625" customWidth="1"/>
    <col min="15107" max="15107" width="22.5546875" customWidth="1"/>
    <col min="15108" max="15108" width="25.6640625" customWidth="1"/>
    <col min="15109" max="15109" width="20.33203125" customWidth="1"/>
    <col min="15110" max="15110" width="14" customWidth="1"/>
    <col min="15111" max="15112" width="23" customWidth="1"/>
    <col min="15113" max="15113" width="19.44140625" customWidth="1"/>
    <col min="15114" max="15114" width="30" customWidth="1"/>
    <col min="15115" max="15115" width="33" customWidth="1"/>
    <col min="15116" max="15116" width="28.33203125" customWidth="1"/>
    <col min="15117" max="15117" width="13.33203125" customWidth="1"/>
    <col min="15118" max="15118" width="14.5546875" customWidth="1"/>
    <col min="15119" max="15119" width="20.33203125" customWidth="1"/>
    <col min="15120" max="15120" width="16.6640625" customWidth="1"/>
    <col min="15121" max="15121" width="12.33203125" customWidth="1"/>
    <col min="15122" max="15122" width="12.33203125" bestFit="1" customWidth="1"/>
    <col min="15123" max="15123" width="11.5546875" customWidth="1"/>
    <col min="15124" max="15124" width="10.6640625" customWidth="1"/>
    <col min="15125" max="15126" width="11.33203125" customWidth="1"/>
    <col min="15127" max="15127" width="12" customWidth="1"/>
    <col min="15128" max="15128" width="11.44140625" customWidth="1"/>
    <col min="15129" max="15129" width="11.6640625" customWidth="1"/>
    <col min="15363" max="15363" width="22.5546875" customWidth="1"/>
    <col min="15364" max="15364" width="25.6640625" customWidth="1"/>
    <col min="15365" max="15365" width="20.33203125" customWidth="1"/>
    <col min="15366" max="15366" width="14" customWidth="1"/>
    <col min="15367" max="15368" width="23" customWidth="1"/>
    <col min="15369" max="15369" width="19.44140625" customWidth="1"/>
    <col min="15370" max="15370" width="30" customWidth="1"/>
    <col min="15371" max="15371" width="33" customWidth="1"/>
    <col min="15372" max="15372" width="28.33203125" customWidth="1"/>
    <col min="15373" max="15373" width="13.33203125" customWidth="1"/>
    <col min="15374" max="15374" width="14.5546875" customWidth="1"/>
    <col min="15375" max="15375" width="20.33203125" customWidth="1"/>
    <col min="15376" max="15376" width="16.6640625" customWidth="1"/>
    <col min="15377" max="15377" width="12.33203125" customWidth="1"/>
    <col min="15378" max="15378" width="12.33203125" bestFit="1" customWidth="1"/>
    <col min="15379" max="15379" width="11.5546875" customWidth="1"/>
    <col min="15380" max="15380" width="10.6640625" customWidth="1"/>
    <col min="15381" max="15382" width="11.33203125" customWidth="1"/>
    <col min="15383" max="15383" width="12" customWidth="1"/>
    <col min="15384" max="15384" width="11.44140625" customWidth="1"/>
    <col min="15385" max="15385" width="11.6640625" customWidth="1"/>
    <col min="15619" max="15619" width="22.5546875" customWidth="1"/>
    <col min="15620" max="15620" width="25.6640625" customWidth="1"/>
    <col min="15621" max="15621" width="20.33203125" customWidth="1"/>
    <col min="15622" max="15622" width="14" customWidth="1"/>
    <col min="15623" max="15624" width="23" customWidth="1"/>
    <col min="15625" max="15625" width="19.44140625" customWidth="1"/>
    <col min="15626" max="15626" width="30" customWidth="1"/>
    <col min="15627" max="15627" width="33" customWidth="1"/>
    <col min="15628" max="15628" width="28.33203125" customWidth="1"/>
    <col min="15629" max="15629" width="13.33203125" customWidth="1"/>
    <col min="15630" max="15630" width="14.5546875" customWidth="1"/>
    <col min="15631" max="15631" width="20.33203125" customWidth="1"/>
    <col min="15632" max="15632" width="16.6640625" customWidth="1"/>
    <col min="15633" max="15633" width="12.33203125" customWidth="1"/>
    <col min="15634" max="15634" width="12.33203125" bestFit="1" customWidth="1"/>
    <col min="15635" max="15635" width="11.5546875" customWidth="1"/>
    <col min="15636" max="15636" width="10.6640625" customWidth="1"/>
    <col min="15637" max="15638" width="11.33203125" customWidth="1"/>
    <col min="15639" max="15639" width="12" customWidth="1"/>
    <col min="15640" max="15640" width="11.44140625" customWidth="1"/>
    <col min="15641" max="15641" width="11.6640625" customWidth="1"/>
    <col min="15875" max="15875" width="22.5546875" customWidth="1"/>
    <col min="15876" max="15876" width="25.6640625" customWidth="1"/>
    <col min="15877" max="15877" width="20.33203125" customWidth="1"/>
    <col min="15878" max="15878" width="14" customWidth="1"/>
    <col min="15879" max="15880" width="23" customWidth="1"/>
    <col min="15881" max="15881" width="19.44140625" customWidth="1"/>
    <col min="15882" max="15882" width="30" customWidth="1"/>
    <col min="15883" max="15883" width="33" customWidth="1"/>
    <col min="15884" max="15884" width="28.33203125" customWidth="1"/>
    <col min="15885" max="15885" width="13.33203125" customWidth="1"/>
    <col min="15886" max="15886" width="14.5546875" customWidth="1"/>
    <col min="15887" max="15887" width="20.33203125" customWidth="1"/>
    <col min="15888" max="15888" width="16.6640625" customWidth="1"/>
    <col min="15889" max="15889" width="12.33203125" customWidth="1"/>
    <col min="15890" max="15890" width="12.33203125" bestFit="1" customWidth="1"/>
    <col min="15891" max="15891" width="11.5546875" customWidth="1"/>
    <col min="15892" max="15892" width="10.6640625" customWidth="1"/>
    <col min="15893" max="15894" width="11.33203125" customWidth="1"/>
    <col min="15895" max="15895" width="12" customWidth="1"/>
    <col min="15896" max="15896" width="11.44140625" customWidth="1"/>
    <col min="15897" max="15897" width="11.6640625" customWidth="1"/>
    <col min="16131" max="16131" width="22.5546875" customWidth="1"/>
    <col min="16132" max="16132" width="25.6640625" customWidth="1"/>
    <col min="16133" max="16133" width="20.33203125" customWidth="1"/>
    <col min="16134" max="16134" width="14" customWidth="1"/>
    <col min="16135" max="16136" width="23" customWidth="1"/>
    <col min="16137" max="16137" width="19.44140625" customWidth="1"/>
    <col min="16138" max="16138" width="30" customWidth="1"/>
    <col min="16139" max="16139" width="33" customWidth="1"/>
    <col min="16140" max="16140" width="28.33203125" customWidth="1"/>
    <col min="16141" max="16141" width="13.33203125" customWidth="1"/>
    <col min="16142" max="16142" width="14.5546875" customWidth="1"/>
    <col min="16143" max="16143" width="20.33203125" customWidth="1"/>
    <col min="16144" max="16144" width="16.6640625" customWidth="1"/>
    <col min="16145" max="16145" width="12.33203125" customWidth="1"/>
    <col min="16146" max="16146" width="12.33203125" bestFit="1" customWidth="1"/>
    <col min="16147" max="16147" width="11.5546875" customWidth="1"/>
    <col min="16148" max="16148" width="10.6640625" customWidth="1"/>
    <col min="16149" max="16150" width="11.33203125" customWidth="1"/>
    <col min="16151" max="16151" width="12" customWidth="1"/>
    <col min="16152" max="16152" width="11.44140625" customWidth="1"/>
    <col min="16153" max="16153" width="11.6640625" customWidth="1"/>
  </cols>
  <sheetData>
    <row r="1" spans="2:25" ht="23.4" x14ac:dyDescent="0.3">
      <c r="B1" s="136" t="s">
        <v>217</v>
      </c>
      <c r="C1" s="136"/>
      <c r="D1" s="136"/>
      <c r="E1" s="136"/>
      <c r="F1" s="136"/>
      <c r="G1" s="136"/>
      <c r="H1" s="136"/>
      <c r="I1" s="136"/>
      <c r="J1" s="136"/>
      <c r="K1" s="136"/>
      <c r="L1" s="136"/>
      <c r="M1" s="136"/>
      <c r="N1" s="136"/>
    </row>
    <row r="3" spans="2:25" ht="15.6" x14ac:dyDescent="0.3">
      <c r="B3" s="1" t="s">
        <v>0</v>
      </c>
      <c r="C3" s="1"/>
      <c r="D3" s="1"/>
      <c r="E3" s="1"/>
      <c r="F3" s="1"/>
      <c r="G3" s="1"/>
      <c r="H3" s="1"/>
      <c r="I3" s="1"/>
      <c r="J3" s="1"/>
      <c r="K3" s="1"/>
      <c r="L3" s="1"/>
      <c r="M3" s="1"/>
      <c r="N3" s="1"/>
      <c r="O3" s="1"/>
      <c r="P3" s="2"/>
      <c r="Q3" s="2"/>
      <c r="R3" s="2"/>
      <c r="S3" s="2"/>
      <c r="T3" s="2"/>
      <c r="U3" s="2"/>
      <c r="V3" s="2"/>
      <c r="W3" s="2"/>
      <c r="X3" s="2"/>
    </row>
    <row r="4" spans="2:25" ht="15.6" x14ac:dyDescent="0.3">
      <c r="B4" s="79" t="s">
        <v>1</v>
      </c>
      <c r="C4" s="81" t="s">
        <v>2</v>
      </c>
      <c r="D4" s="81"/>
      <c r="E4" s="81"/>
      <c r="F4" s="81"/>
      <c r="G4" s="81"/>
      <c r="H4" s="81"/>
      <c r="I4" s="81"/>
      <c r="J4" s="81"/>
      <c r="K4" s="81"/>
      <c r="L4" s="81" t="s">
        <v>3</v>
      </c>
      <c r="M4" s="81"/>
      <c r="N4" s="81"/>
      <c r="O4" s="81"/>
      <c r="P4" s="81"/>
      <c r="Q4" s="4"/>
      <c r="R4" s="82" t="s">
        <v>4</v>
      </c>
      <c r="S4" s="82"/>
      <c r="T4" s="82"/>
      <c r="U4" s="82"/>
      <c r="V4" s="82"/>
      <c r="W4" s="6"/>
      <c r="X4" s="6"/>
    </row>
    <row r="5" spans="2:25" ht="62.4" x14ac:dyDescent="0.3">
      <c r="B5" s="79"/>
      <c r="C5" s="3" t="s">
        <v>5</v>
      </c>
      <c r="D5" s="3" t="s">
        <v>6</v>
      </c>
      <c r="E5" s="3" t="s">
        <v>7</v>
      </c>
      <c r="F5" s="3" t="s">
        <v>8</v>
      </c>
      <c r="G5" s="3" t="s">
        <v>9</v>
      </c>
      <c r="H5" s="3" t="s">
        <v>10</v>
      </c>
      <c r="I5" s="3" t="s">
        <v>11</v>
      </c>
      <c r="J5" s="3" t="s">
        <v>12</v>
      </c>
      <c r="K5" s="3" t="s">
        <v>13</v>
      </c>
      <c r="L5" s="3" t="s">
        <v>14</v>
      </c>
      <c r="M5" s="3" t="s">
        <v>15</v>
      </c>
      <c r="N5" s="3" t="s">
        <v>16</v>
      </c>
      <c r="O5" s="3" t="s">
        <v>17</v>
      </c>
      <c r="P5" s="3" t="s">
        <v>18</v>
      </c>
      <c r="Q5" s="3" t="s">
        <v>19</v>
      </c>
      <c r="R5" s="7">
        <v>2023</v>
      </c>
      <c r="S5" s="7">
        <v>2024</v>
      </c>
      <c r="T5" s="7">
        <v>2025</v>
      </c>
      <c r="U5" s="7">
        <v>2026</v>
      </c>
      <c r="V5" s="7">
        <v>2027</v>
      </c>
      <c r="W5" s="7">
        <v>2028</v>
      </c>
      <c r="X5" s="7">
        <v>2029</v>
      </c>
      <c r="Y5" s="8"/>
    </row>
    <row r="6" spans="2:25" ht="93.6" x14ac:dyDescent="0.3">
      <c r="B6" s="129">
        <v>1</v>
      </c>
      <c r="C6" s="83" t="s">
        <v>20</v>
      </c>
      <c r="D6" s="10" t="s">
        <v>21</v>
      </c>
      <c r="E6" s="10">
        <f>40.205+2.46+12.962+4.039+4.351+0.676+3.226+4.644+3.181+6.851+0.139+7.251+7.928+5.208+8.226+3.436+2.233+7.603+7.525+3.98+4.74+5.44+13.268+3.556+1.966+4.876+6.344+2.5</f>
        <v>178.81399999999999</v>
      </c>
      <c r="F6" s="10" t="s">
        <v>22</v>
      </c>
      <c r="G6" s="11">
        <f t="shared" ref="G6:G62" si="0">R6+S6+T6+U6+V6</f>
        <v>75736905.299999997</v>
      </c>
      <c r="H6" s="11">
        <f t="shared" ref="H6:H63" si="1">S6+T6+U6+V6+W6+X6+R6</f>
        <v>126228175.49999999</v>
      </c>
      <c r="I6" s="10" t="s">
        <v>23</v>
      </c>
      <c r="J6" s="10" t="s">
        <v>24</v>
      </c>
      <c r="K6" s="10">
        <v>2029</v>
      </c>
      <c r="L6" s="10" t="s">
        <v>25</v>
      </c>
      <c r="M6" s="12">
        <v>2023</v>
      </c>
      <c r="N6" s="12">
        <v>2023</v>
      </c>
      <c r="O6" s="12">
        <v>2023</v>
      </c>
      <c r="P6" s="12">
        <v>2023</v>
      </c>
      <c r="Q6" s="12">
        <v>2023</v>
      </c>
      <c r="R6" s="13">
        <v>0</v>
      </c>
      <c r="S6" s="13">
        <v>0</v>
      </c>
      <c r="T6" s="13">
        <f>(1736965.6+33744.4+1329539.6+51664.8+88262.38+12970.46+45956.42+62413.92+40872.8+80336.16+5795.4+97826.48+102693.44+116379.68+184406.96+100201+78476.72+130593.74+115814.5+49090+50041.6+69400+162387.12+40723.68+22718.48+54853.28+139345.76+45652.64)*5</f>
        <v>25245635.099999998</v>
      </c>
      <c r="U6" s="13">
        <f>(1736965.6+33744.4+1329539.6+51664.8+88262.38+12970.46+45956.42+62413.92+40872.8+80336.16+5795.4+97826.48+102693.44+116379.68+184406.96+100201+78476.72+130593.74+115814.5+49090+50041.6+69400+162387.12+40723.68+22718.48+54853.28+139345.76+45652.64)*5</f>
        <v>25245635.099999998</v>
      </c>
      <c r="V6" s="13">
        <f>(1736965.6+33744.4+1329539.6+51664.8+88262.38+12970.46+45956.42+62413.92+40872.8+80336.16+5795.4+97826.48+102693.44+116379.68+184406.96+100201+78476.72+130593.74+115814.5+49090+50041.6+69400+162387.12+40723.68+22718.48+54853.28+139345.76+45652.64)*5</f>
        <v>25245635.099999998</v>
      </c>
      <c r="W6" s="13">
        <f>(1736965.6+33744.4+1329539.6+51664.8+88262.38+12970.46+45956.42+62413.92+40872.8+80336.16+5795.4+97826.48+102693.44+116379.68+184406.96+100201+78476.72+130593.74+115814.5+49090+50041.6+69400+162387.12+40723.68+22718.48+54853.28+139345.76+45652.64)*5</f>
        <v>25245635.099999998</v>
      </c>
      <c r="X6" s="13">
        <f>(1736965.6+33744.4+1329539.6+51664.8+88262.38+12970.46+45956.42+62413.92+40872.8+80336.16+5795.4+97826.48+102693.44+116379.68+184406.96+100201+78476.72+130593.74+115814.5+49090+50041.6+69400+162387.12+40723.68+22718.48+54853.28+139345.76+45652.64)*5</f>
        <v>25245635.099999998</v>
      </c>
    </row>
    <row r="7" spans="2:25" ht="101.7" customHeight="1" x14ac:dyDescent="0.3">
      <c r="B7" s="134"/>
      <c r="C7" s="121"/>
      <c r="D7" s="9" t="s">
        <v>21</v>
      </c>
      <c r="E7" s="9">
        <f>2+6+8+3+1.8</f>
        <v>20.8</v>
      </c>
      <c r="F7" s="9" t="s">
        <v>22</v>
      </c>
      <c r="G7" s="14">
        <f t="shared" si="0"/>
        <v>14308333</v>
      </c>
      <c r="H7" s="14">
        <f t="shared" si="1"/>
        <v>14308333</v>
      </c>
      <c r="I7" s="9" t="s">
        <v>23</v>
      </c>
      <c r="J7" s="3" t="s">
        <v>26</v>
      </c>
      <c r="K7" s="9">
        <v>2027</v>
      </c>
      <c r="L7" s="9" t="s">
        <v>25</v>
      </c>
      <c r="M7" s="15">
        <v>2023</v>
      </c>
      <c r="N7" s="15">
        <v>2023</v>
      </c>
      <c r="O7" s="15">
        <v>2023</v>
      </c>
      <c r="P7" s="15">
        <v>2023</v>
      </c>
      <c r="Q7" s="15">
        <v>2023</v>
      </c>
      <c r="R7" s="16">
        <f>1533433+210000+315000+99900+50000</f>
        <v>2208333</v>
      </c>
      <c r="S7" s="17">
        <f>500000+250000</f>
        <v>750000</v>
      </c>
      <c r="T7" s="17">
        <f>500000+250000+2000000</f>
        <v>2750000</v>
      </c>
      <c r="U7" s="16">
        <f>1800000+500000+250000+2000000</f>
        <v>4550000</v>
      </c>
      <c r="V7" s="16">
        <f>1800000+500000+250000+1500000</f>
        <v>4050000</v>
      </c>
      <c r="W7" s="16">
        <v>0</v>
      </c>
      <c r="X7" s="16">
        <v>0</v>
      </c>
    </row>
    <row r="8" spans="2:25" ht="88.5" customHeight="1" x14ac:dyDescent="0.3">
      <c r="B8" s="134"/>
      <c r="C8" s="121"/>
      <c r="D8" s="9" t="s">
        <v>27</v>
      </c>
      <c r="E8" s="9">
        <v>8</v>
      </c>
      <c r="F8" s="9" t="s">
        <v>28</v>
      </c>
      <c r="G8" s="14">
        <f t="shared" si="0"/>
        <v>6600000</v>
      </c>
      <c r="H8" s="14">
        <f t="shared" si="1"/>
        <v>6600000</v>
      </c>
      <c r="I8" s="9" t="s">
        <v>29</v>
      </c>
      <c r="J8" s="9" t="s">
        <v>26</v>
      </c>
      <c r="K8" s="9">
        <v>2027</v>
      </c>
      <c r="L8" s="9"/>
      <c r="M8" s="15"/>
      <c r="N8" s="15"/>
      <c r="O8" s="15"/>
      <c r="P8" s="15"/>
      <c r="Q8" s="15"/>
      <c r="R8" s="17">
        <v>225000</v>
      </c>
      <c r="S8" s="17">
        <f>200000+1000000+450000-500000</f>
        <v>1150000</v>
      </c>
      <c r="T8" s="17">
        <f>600000+350000+775000+450000</f>
        <v>2175000</v>
      </c>
      <c r="U8" s="17">
        <f>800000+350000+500000</f>
        <v>1650000</v>
      </c>
      <c r="V8" s="17">
        <f>500000+400000+500000</f>
        <v>1400000</v>
      </c>
      <c r="W8" s="16">
        <v>0</v>
      </c>
      <c r="X8" s="16">
        <v>0</v>
      </c>
    </row>
    <row r="9" spans="2:25" ht="72" customHeight="1" x14ac:dyDescent="0.3">
      <c r="B9" s="130"/>
      <c r="C9" s="121"/>
      <c r="D9" s="10" t="s">
        <v>27</v>
      </c>
      <c r="E9" s="10">
        <v>11</v>
      </c>
      <c r="F9" s="10" t="s">
        <v>28</v>
      </c>
      <c r="G9" s="18">
        <f t="shared" si="0"/>
        <v>40513561.5</v>
      </c>
      <c r="H9" s="14">
        <f t="shared" si="1"/>
        <v>67522602.5</v>
      </c>
      <c r="I9" s="9" t="s">
        <v>29</v>
      </c>
      <c r="J9" s="10" t="s">
        <v>24</v>
      </c>
      <c r="K9" s="10">
        <v>2029</v>
      </c>
      <c r="L9" s="10"/>
      <c r="M9" s="12"/>
      <c r="N9" s="12"/>
      <c r="O9" s="12"/>
      <c r="P9" s="12"/>
      <c r="Q9" s="12"/>
      <c r="R9" s="13">
        <v>0</v>
      </c>
      <c r="S9" s="13">
        <v>0</v>
      </c>
      <c r="T9" s="13">
        <f>(315426+1505220+504288.1+44670+55420+39720+22960+40180+104560+68460)*5</f>
        <v>13504520.5</v>
      </c>
      <c r="U9" s="13">
        <f>(315426+1505220+504288.1+44670+55420+39720+22960+40180+104560+68460)*5</f>
        <v>13504520.5</v>
      </c>
      <c r="V9" s="13">
        <f>(315426+1505220+504288.1+44670+55420+39720+22960+40180+104560+68460)*5</f>
        <v>13504520.5</v>
      </c>
      <c r="W9" s="13">
        <f>(315426+1505220+504288.1+44670+55420+39720+22960+40180+104560+68460)*5</f>
        <v>13504520.5</v>
      </c>
      <c r="X9" s="13">
        <f>(315426+1505220+504288.1+44670+55420+39720+22960+40180+104560+68460)*5</f>
        <v>13504520.5</v>
      </c>
    </row>
    <row r="10" spans="2:25" ht="93.6" x14ac:dyDescent="0.3">
      <c r="B10" s="129">
        <v>2</v>
      </c>
      <c r="C10" s="129" t="s">
        <v>30</v>
      </c>
      <c r="D10" s="10" t="s">
        <v>21</v>
      </c>
      <c r="E10" s="10">
        <f>13.853+4.938+69.767+17.947</f>
        <v>106.505</v>
      </c>
      <c r="F10" s="10" t="s">
        <v>22</v>
      </c>
      <c r="G10" s="11">
        <f t="shared" si="0"/>
        <v>81834805.5</v>
      </c>
      <c r="H10" s="11">
        <f t="shared" si="1"/>
        <v>136391342.5</v>
      </c>
      <c r="I10" s="10" t="s">
        <v>23</v>
      </c>
      <c r="J10" s="10" t="s">
        <v>24</v>
      </c>
      <c r="K10" s="10">
        <v>2029</v>
      </c>
      <c r="L10" s="10" t="s">
        <v>25</v>
      </c>
      <c r="M10" s="12">
        <v>2023</v>
      </c>
      <c r="N10" s="12">
        <v>2023</v>
      </c>
      <c r="O10" s="12">
        <v>2023</v>
      </c>
      <c r="P10" s="12">
        <v>2023</v>
      </c>
      <c r="Q10" s="12">
        <v>2023</v>
      </c>
      <c r="R10" s="13">
        <v>0</v>
      </c>
      <c r="S10" s="13">
        <v>0</v>
      </c>
      <c r="T10" s="13">
        <f>(290824.86+70269.54+127860+4195016.8+255139.7+516542.8)*5</f>
        <v>27278268.5</v>
      </c>
      <c r="U10" s="13">
        <f>(290824.86+70269.54+127860+4195016.8+255139.7+516542.8)*5</f>
        <v>27278268.5</v>
      </c>
      <c r="V10" s="13">
        <f>(290824.86+70269.54+127860+4195016.8+255139.7+516542.8)*5</f>
        <v>27278268.5</v>
      </c>
      <c r="W10" s="13">
        <f>(290824.86+70269.54+127860+4195016.8+255139.7+516542.8)*5</f>
        <v>27278268.5</v>
      </c>
      <c r="X10" s="13">
        <f>(290824.86+70269.54+127860+4195016.8+255139.7+516542.8)*5</f>
        <v>27278268.5</v>
      </c>
    </row>
    <row r="11" spans="2:25" ht="93.6" x14ac:dyDescent="0.3">
      <c r="B11" s="134"/>
      <c r="C11" s="134"/>
      <c r="D11" s="9" t="s">
        <v>21</v>
      </c>
      <c r="E11" s="9">
        <f>4+5</f>
        <v>9</v>
      </c>
      <c r="F11" s="9" t="s">
        <v>22</v>
      </c>
      <c r="G11" s="14">
        <f t="shared" si="0"/>
        <v>7173000</v>
      </c>
      <c r="H11" s="14">
        <f t="shared" si="1"/>
        <v>7173000</v>
      </c>
      <c r="I11" s="9" t="s">
        <v>23</v>
      </c>
      <c r="J11" s="9" t="s">
        <v>26</v>
      </c>
      <c r="K11" s="9">
        <v>2027</v>
      </c>
      <c r="L11" s="9"/>
      <c r="M11" s="15"/>
      <c r="N11" s="15"/>
      <c r="O11" s="15"/>
      <c r="P11" s="15"/>
      <c r="Q11" s="15"/>
      <c r="R11" s="17">
        <f>83000+35000</f>
        <v>118000</v>
      </c>
      <c r="S11" s="17">
        <f>100000+865000</f>
        <v>965000</v>
      </c>
      <c r="T11" s="16">
        <f>250000+100000+800000</f>
        <v>1150000</v>
      </c>
      <c r="U11" s="16">
        <f>1000000+100000+1240000</f>
        <v>2340000</v>
      </c>
      <c r="V11" s="17">
        <f>100000+2500000</f>
        <v>2600000</v>
      </c>
      <c r="W11" s="16">
        <v>0</v>
      </c>
      <c r="X11" s="16">
        <v>0</v>
      </c>
    </row>
    <row r="12" spans="2:25" ht="62.4" x14ac:dyDescent="0.3">
      <c r="B12" s="134"/>
      <c r="C12" s="134"/>
      <c r="D12" s="10" t="s">
        <v>27</v>
      </c>
      <c r="E12" s="10">
        <v>4</v>
      </c>
      <c r="F12" s="10" t="s">
        <v>28</v>
      </c>
      <c r="G12" s="18">
        <f t="shared" si="0"/>
        <v>21946350</v>
      </c>
      <c r="H12" s="14">
        <f t="shared" si="1"/>
        <v>36577250</v>
      </c>
      <c r="I12" s="9" t="s">
        <v>29</v>
      </c>
      <c r="J12" s="10" t="s">
        <v>24</v>
      </c>
      <c r="K12" s="10">
        <v>2029</v>
      </c>
      <c r="L12" s="10"/>
      <c r="M12" s="12"/>
      <c r="N12" s="12"/>
      <c r="O12" s="12"/>
      <c r="P12" s="12"/>
      <c r="Q12" s="12"/>
      <c r="R12" s="13">
        <v>0</v>
      </c>
      <c r="S12" s="13">
        <v>0</v>
      </c>
      <c r="T12" s="13">
        <f>(373740+818900+252730+17720)*5</f>
        <v>7315450</v>
      </c>
      <c r="U12" s="13">
        <f>(373740+818900+252730+17720)*5</f>
        <v>7315450</v>
      </c>
      <c r="V12" s="13">
        <f>(373740+818900+252730+17720)*5</f>
        <v>7315450</v>
      </c>
      <c r="W12" s="13">
        <f>(373740+818900+252730+17720)*5</f>
        <v>7315450</v>
      </c>
      <c r="X12" s="13">
        <f>(373740+818900+252730+17720)*5</f>
        <v>7315450</v>
      </c>
    </row>
    <row r="13" spans="2:25" ht="62.4" x14ac:dyDescent="0.3">
      <c r="B13" s="130"/>
      <c r="C13" s="130"/>
      <c r="D13" s="9" t="s">
        <v>27</v>
      </c>
      <c r="E13" s="14">
        <v>3</v>
      </c>
      <c r="F13" s="9" t="s">
        <v>28</v>
      </c>
      <c r="G13" s="14">
        <f t="shared" si="0"/>
        <v>1350000</v>
      </c>
      <c r="H13" s="14">
        <f t="shared" si="1"/>
        <v>1350000</v>
      </c>
      <c r="I13" s="9" t="s">
        <v>29</v>
      </c>
      <c r="J13" s="9" t="s">
        <v>26</v>
      </c>
      <c r="K13" s="9">
        <v>2027</v>
      </c>
      <c r="L13" s="19"/>
      <c r="M13" s="15"/>
      <c r="N13" s="15"/>
      <c r="O13" s="15"/>
      <c r="P13" s="15"/>
      <c r="Q13" s="15"/>
      <c r="R13" s="17">
        <v>0</v>
      </c>
      <c r="S13" s="17">
        <v>0</v>
      </c>
      <c r="T13" s="17">
        <v>0</v>
      </c>
      <c r="U13" s="17">
        <v>450000</v>
      </c>
      <c r="V13" s="17">
        <v>900000</v>
      </c>
      <c r="W13" s="17">
        <v>0</v>
      </c>
      <c r="X13" s="17">
        <v>0</v>
      </c>
    </row>
    <row r="14" spans="2:25" ht="93.6" x14ac:dyDescent="0.3">
      <c r="B14" s="129">
        <v>3</v>
      </c>
      <c r="C14" s="131" t="s">
        <v>31</v>
      </c>
      <c r="D14" s="10" t="s">
        <v>21</v>
      </c>
      <c r="E14" s="10">
        <f>4.66+1.036+0.547+0.119+9.382+2.072</f>
        <v>17.815999999999999</v>
      </c>
      <c r="F14" s="10" t="s">
        <v>22</v>
      </c>
      <c r="G14" s="11">
        <f t="shared" si="0"/>
        <v>5073513</v>
      </c>
      <c r="H14" s="11">
        <f t="shared" si="1"/>
        <v>8455855</v>
      </c>
      <c r="I14" s="10" t="s">
        <v>23</v>
      </c>
      <c r="J14" s="10" t="s">
        <v>24</v>
      </c>
      <c r="K14" s="10">
        <v>2029</v>
      </c>
      <c r="L14" s="10" t="s">
        <v>25</v>
      </c>
      <c r="M14" s="12">
        <v>2023</v>
      </c>
      <c r="N14" s="12">
        <v>2023</v>
      </c>
      <c r="O14" s="12">
        <v>2023</v>
      </c>
      <c r="P14" s="12">
        <v>2023</v>
      </c>
      <c r="Q14" s="12">
        <v>2023</v>
      </c>
      <c r="R14" s="13">
        <v>0</v>
      </c>
      <c r="S14" s="13">
        <v>0</v>
      </c>
      <c r="T14" s="13">
        <f>(53332.6+10297.84+17760+11755.6+1182.86+2040+178949.62+20595.68+40920+1400)*5</f>
        <v>1691171</v>
      </c>
      <c r="U14" s="13">
        <f>(53332.6+10297.84+17760+11755.6+1182.86+2040+178949.62+20595.68+40920+1400)*5</f>
        <v>1691171</v>
      </c>
      <c r="V14" s="13">
        <f>(53332.6+10297.84+17760+11755.6+1182.86+2040+178949.62+20595.68+40920+1400)*5</f>
        <v>1691171</v>
      </c>
      <c r="W14" s="13">
        <f>(53332.6+10297.84+17760+11755.6+1182.86+2040+178949.62+20595.68+40920+1400)*5</f>
        <v>1691171</v>
      </c>
      <c r="X14" s="13">
        <f>(53332.6+10297.84+17760+11755.6+1182.86+2040+178949.62+20595.68+40920+1400)*5</f>
        <v>1691171</v>
      </c>
    </row>
    <row r="15" spans="2:25" ht="62.4" x14ac:dyDescent="0.3">
      <c r="B15" s="130"/>
      <c r="C15" s="132"/>
      <c r="D15" s="10" t="s">
        <v>27</v>
      </c>
      <c r="E15" s="10">
        <v>2</v>
      </c>
      <c r="F15" s="10" t="s">
        <v>28</v>
      </c>
      <c r="G15" s="20">
        <f t="shared" si="0"/>
        <v>2174700</v>
      </c>
      <c r="H15" s="11">
        <f t="shared" si="1"/>
        <v>3624500</v>
      </c>
      <c r="I15" s="10" t="s">
        <v>29</v>
      </c>
      <c r="J15" s="10" t="s">
        <v>24</v>
      </c>
      <c r="K15" s="10">
        <v>2029</v>
      </c>
      <c r="L15" s="10"/>
      <c r="M15" s="12"/>
      <c r="N15" s="12"/>
      <c r="O15" s="12"/>
      <c r="P15" s="12"/>
      <c r="Q15" s="12"/>
      <c r="R15" s="13">
        <v>0</v>
      </c>
      <c r="S15" s="13">
        <v>0</v>
      </c>
      <c r="T15" s="13">
        <f>(120600+24380)*5</f>
        <v>724900</v>
      </c>
      <c r="U15" s="13">
        <f>(120600+24380)*5</f>
        <v>724900</v>
      </c>
      <c r="V15" s="13">
        <f>(120600+24380)*5</f>
        <v>724900</v>
      </c>
      <c r="W15" s="13">
        <f>(120600+24380)*5</f>
        <v>724900</v>
      </c>
      <c r="X15" s="13">
        <f>(120600+24380)*5</f>
        <v>724900</v>
      </c>
    </row>
    <row r="16" spans="2:25" ht="93.6" x14ac:dyDescent="0.3">
      <c r="B16" s="129">
        <v>4</v>
      </c>
      <c r="C16" s="131" t="s">
        <v>32</v>
      </c>
      <c r="D16" s="10" t="s">
        <v>21</v>
      </c>
      <c r="E16" s="10">
        <f>41.923</f>
        <v>41.923000000000002</v>
      </c>
      <c r="F16" s="10" t="s">
        <v>22</v>
      </c>
      <c r="G16" s="11">
        <f t="shared" si="0"/>
        <v>8621801.7000000011</v>
      </c>
      <c r="H16" s="11">
        <f t="shared" si="1"/>
        <v>14369669.500000002</v>
      </c>
      <c r="I16" s="10" t="s">
        <v>23</v>
      </c>
      <c r="J16" s="10" t="s">
        <v>24</v>
      </c>
      <c r="K16" s="10">
        <v>2029</v>
      </c>
      <c r="L16" s="10" t="s">
        <v>25</v>
      </c>
      <c r="M16" s="12">
        <v>2023</v>
      </c>
      <c r="N16" s="12">
        <v>2023</v>
      </c>
      <c r="O16" s="12">
        <v>2023</v>
      </c>
      <c r="P16" s="12">
        <v>2023</v>
      </c>
      <c r="Q16" s="12">
        <v>2023</v>
      </c>
      <c r="R16" s="13">
        <v>0</v>
      </c>
      <c r="S16" s="13">
        <v>0</v>
      </c>
      <c r="T16" s="13">
        <f>574786.78*5</f>
        <v>2873933.9000000004</v>
      </c>
      <c r="U16" s="13">
        <f>574786.78*5</f>
        <v>2873933.9000000004</v>
      </c>
      <c r="V16" s="13">
        <f>574786.78*5</f>
        <v>2873933.9000000004</v>
      </c>
      <c r="W16" s="13">
        <f>574786.78*5</f>
        <v>2873933.9000000004</v>
      </c>
      <c r="X16" s="13">
        <f>574786.78*5</f>
        <v>2873933.9000000004</v>
      </c>
    </row>
    <row r="17" spans="2:24" ht="62.4" x14ac:dyDescent="0.3">
      <c r="B17" s="130"/>
      <c r="C17" s="132"/>
      <c r="D17" s="10" t="s">
        <v>27</v>
      </c>
      <c r="E17" s="10">
        <v>11</v>
      </c>
      <c r="F17" s="10" t="s">
        <v>28</v>
      </c>
      <c r="G17" s="20">
        <f t="shared" si="0"/>
        <v>13257840</v>
      </c>
      <c r="H17" s="11">
        <f t="shared" si="1"/>
        <v>22096400</v>
      </c>
      <c r="I17" s="10" t="s">
        <v>29</v>
      </c>
      <c r="J17" s="10" t="s">
        <v>24</v>
      </c>
      <c r="K17" s="10">
        <v>2029</v>
      </c>
      <c r="L17" s="10"/>
      <c r="M17" s="12"/>
      <c r="N17" s="12"/>
      <c r="O17" s="12"/>
      <c r="P17" s="12"/>
      <c r="Q17" s="12"/>
      <c r="R17" s="13">
        <v>0</v>
      </c>
      <c r="S17" s="13">
        <v>0</v>
      </c>
      <c r="T17" s="13">
        <f>883856*5</f>
        <v>4419280</v>
      </c>
      <c r="U17" s="13">
        <f>883856*5</f>
        <v>4419280</v>
      </c>
      <c r="V17" s="13">
        <f>883856*5</f>
        <v>4419280</v>
      </c>
      <c r="W17" s="13">
        <f>883856*5</f>
        <v>4419280</v>
      </c>
      <c r="X17" s="13">
        <f>883856*5</f>
        <v>4419280</v>
      </c>
    </row>
    <row r="18" spans="2:24" ht="93.6" x14ac:dyDescent="0.3">
      <c r="B18" s="129">
        <v>5</v>
      </c>
      <c r="C18" s="131" t="s">
        <v>33</v>
      </c>
      <c r="D18" s="10" t="s">
        <v>21</v>
      </c>
      <c r="E18" s="10">
        <v>6.5</v>
      </c>
      <c r="F18" s="10" t="s">
        <v>22</v>
      </c>
      <c r="G18" s="11">
        <f t="shared" si="0"/>
        <v>1666623</v>
      </c>
      <c r="H18" s="11">
        <f t="shared" si="1"/>
        <v>2777705</v>
      </c>
      <c r="I18" s="10" t="s">
        <v>23</v>
      </c>
      <c r="J18" s="10" t="s">
        <v>24</v>
      </c>
      <c r="K18" s="10">
        <v>2029</v>
      </c>
      <c r="L18" s="10" t="s">
        <v>25</v>
      </c>
      <c r="M18" s="12">
        <v>2023</v>
      </c>
      <c r="N18" s="12">
        <v>2023</v>
      </c>
      <c r="O18" s="12">
        <v>2023</v>
      </c>
      <c r="P18" s="12">
        <v>2023</v>
      </c>
      <c r="Q18" s="12">
        <v>2023</v>
      </c>
      <c r="R18" s="13">
        <v>0</v>
      </c>
      <c r="S18" s="13">
        <v>0</v>
      </c>
      <c r="T18" s="13">
        <f>111108.2*5</f>
        <v>555541</v>
      </c>
      <c r="U18" s="13">
        <f>111108.2*5</f>
        <v>555541</v>
      </c>
      <c r="V18" s="13">
        <f>111108.2*5</f>
        <v>555541</v>
      </c>
      <c r="W18" s="13">
        <f>111108.2*5</f>
        <v>555541</v>
      </c>
      <c r="X18" s="13">
        <f>111108.2*5</f>
        <v>555541</v>
      </c>
    </row>
    <row r="19" spans="2:24" ht="62.4" x14ac:dyDescent="0.3">
      <c r="B19" s="130"/>
      <c r="C19" s="132"/>
      <c r="D19" s="10" t="s">
        <v>27</v>
      </c>
      <c r="E19" s="10">
        <v>2</v>
      </c>
      <c r="F19" s="10" t="s">
        <v>28</v>
      </c>
      <c r="G19" s="20">
        <f t="shared" si="0"/>
        <v>8492400</v>
      </c>
      <c r="H19" s="11">
        <f t="shared" si="1"/>
        <v>14154000</v>
      </c>
      <c r="I19" s="10" t="s">
        <v>29</v>
      </c>
      <c r="J19" s="10" t="s">
        <v>24</v>
      </c>
      <c r="K19" s="10">
        <v>2029</v>
      </c>
      <c r="L19" s="10"/>
      <c r="M19" s="12"/>
      <c r="N19" s="12"/>
      <c r="O19" s="12"/>
      <c r="P19" s="12"/>
      <c r="Q19" s="12"/>
      <c r="R19" s="13">
        <v>0</v>
      </c>
      <c r="S19" s="13">
        <v>0</v>
      </c>
      <c r="T19" s="13">
        <f>566160*5</f>
        <v>2830800</v>
      </c>
      <c r="U19" s="13">
        <f>566160*5</f>
        <v>2830800</v>
      </c>
      <c r="V19" s="13">
        <f>566160*5</f>
        <v>2830800</v>
      </c>
      <c r="W19" s="13">
        <f>566160*5</f>
        <v>2830800</v>
      </c>
      <c r="X19" s="13">
        <f>566160*5</f>
        <v>2830800</v>
      </c>
    </row>
    <row r="20" spans="2:24" ht="93.6" x14ac:dyDescent="0.3">
      <c r="B20" s="129">
        <v>6</v>
      </c>
      <c r="C20" s="131" t="s">
        <v>34</v>
      </c>
      <c r="D20" s="10" t="s">
        <v>21</v>
      </c>
      <c r="E20" s="10">
        <v>3.8279999999999998</v>
      </c>
      <c r="F20" s="10" t="s">
        <v>22</v>
      </c>
      <c r="G20" s="11">
        <f t="shared" si="0"/>
        <v>2052512.4000000001</v>
      </c>
      <c r="H20" s="11">
        <f t="shared" si="1"/>
        <v>3420854</v>
      </c>
      <c r="I20" s="10" t="s">
        <v>23</v>
      </c>
      <c r="J20" s="10" t="s">
        <v>24</v>
      </c>
      <c r="K20" s="10">
        <v>2029</v>
      </c>
      <c r="L20" s="10" t="s">
        <v>25</v>
      </c>
      <c r="M20" s="12">
        <v>2023</v>
      </c>
      <c r="N20" s="12">
        <v>2023</v>
      </c>
      <c r="O20" s="12">
        <v>2023</v>
      </c>
      <c r="P20" s="12">
        <v>2023</v>
      </c>
      <c r="Q20" s="12">
        <v>2023</v>
      </c>
      <c r="R20" s="13">
        <v>0</v>
      </c>
      <c r="S20" s="13">
        <v>0</v>
      </c>
      <c r="T20" s="13">
        <f>136834.16*5</f>
        <v>684170.8</v>
      </c>
      <c r="U20" s="13">
        <f>136834.16*5</f>
        <v>684170.8</v>
      </c>
      <c r="V20" s="13">
        <f>136834.16*5</f>
        <v>684170.8</v>
      </c>
      <c r="W20" s="13">
        <f>136834.16*5</f>
        <v>684170.8</v>
      </c>
      <c r="X20" s="13">
        <f>136834.16*5</f>
        <v>684170.8</v>
      </c>
    </row>
    <row r="21" spans="2:24" ht="62.4" x14ac:dyDescent="0.3">
      <c r="B21" s="130"/>
      <c r="C21" s="132"/>
      <c r="D21" s="10" t="s">
        <v>27</v>
      </c>
      <c r="E21" s="10">
        <v>4</v>
      </c>
      <c r="F21" s="10" t="s">
        <v>28</v>
      </c>
      <c r="G21" s="20">
        <f t="shared" si="0"/>
        <v>8456400</v>
      </c>
      <c r="H21" s="11">
        <f t="shared" si="1"/>
        <v>14094000</v>
      </c>
      <c r="I21" s="10" t="s">
        <v>29</v>
      </c>
      <c r="J21" s="10" t="s">
        <v>24</v>
      </c>
      <c r="K21" s="10">
        <v>2029</v>
      </c>
      <c r="L21" s="10"/>
      <c r="M21" s="12"/>
      <c r="N21" s="12"/>
      <c r="O21" s="12"/>
      <c r="P21" s="12"/>
      <c r="Q21" s="12"/>
      <c r="R21" s="13">
        <v>0</v>
      </c>
      <c r="S21" s="13">
        <v>0</v>
      </c>
      <c r="T21" s="13">
        <f>563760*5</f>
        <v>2818800</v>
      </c>
      <c r="U21" s="13">
        <f>563760*5</f>
        <v>2818800</v>
      </c>
      <c r="V21" s="13">
        <f>563760*5</f>
        <v>2818800</v>
      </c>
      <c r="W21" s="13">
        <f>563760*5</f>
        <v>2818800</v>
      </c>
      <c r="X21" s="13">
        <f>563760*5</f>
        <v>2818800</v>
      </c>
    </row>
    <row r="22" spans="2:24" ht="61.5" customHeight="1" x14ac:dyDescent="0.3">
      <c r="B22" s="9">
        <v>7</v>
      </c>
      <c r="C22" s="9" t="s">
        <v>35</v>
      </c>
      <c r="D22" s="10" t="s">
        <v>27</v>
      </c>
      <c r="E22" s="10">
        <v>3</v>
      </c>
      <c r="F22" s="10" t="s">
        <v>28</v>
      </c>
      <c r="G22" s="20">
        <f t="shared" si="0"/>
        <v>1823700</v>
      </c>
      <c r="H22" s="11">
        <f t="shared" si="1"/>
        <v>3039500</v>
      </c>
      <c r="I22" s="10" t="s">
        <v>29</v>
      </c>
      <c r="J22" s="10" t="s">
        <v>24</v>
      </c>
      <c r="K22" s="10">
        <v>2029</v>
      </c>
      <c r="L22" s="10"/>
      <c r="M22" s="12"/>
      <c r="N22" s="12"/>
      <c r="O22" s="12"/>
      <c r="P22" s="12"/>
      <c r="Q22" s="12"/>
      <c r="R22" s="13">
        <v>0</v>
      </c>
      <c r="S22" s="13">
        <v>0</v>
      </c>
      <c r="T22" s="13">
        <f>(53820+52280+15480)*5</f>
        <v>607900</v>
      </c>
      <c r="U22" s="13">
        <f>(53820+52280+15480)*5</f>
        <v>607900</v>
      </c>
      <c r="V22" s="13">
        <f>(53820+52280+15480)*5</f>
        <v>607900</v>
      </c>
      <c r="W22" s="13">
        <f>(53820+52280+15480)*5</f>
        <v>607900</v>
      </c>
      <c r="X22" s="13">
        <f>(53820+52280+15480)*5</f>
        <v>607900</v>
      </c>
    </row>
    <row r="23" spans="2:24" ht="61.5" customHeight="1" x14ac:dyDescent="0.3">
      <c r="B23" s="129">
        <v>8</v>
      </c>
      <c r="C23" s="131" t="s">
        <v>36</v>
      </c>
      <c r="D23" s="10" t="s">
        <v>21</v>
      </c>
      <c r="E23" s="10">
        <v>7.0949999999999998</v>
      </c>
      <c r="F23" s="10" t="s">
        <v>22</v>
      </c>
      <c r="G23" s="11">
        <f t="shared" si="0"/>
        <v>2190091.1999999997</v>
      </c>
      <c r="H23" s="11">
        <f t="shared" si="1"/>
        <v>3650151.9999999995</v>
      </c>
      <c r="I23" s="10" t="s">
        <v>23</v>
      </c>
      <c r="J23" s="10" t="s">
        <v>24</v>
      </c>
      <c r="K23" s="10">
        <v>2029</v>
      </c>
      <c r="L23" s="10" t="s">
        <v>25</v>
      </c>
      <c r="M23" s="12">
        <v>2023</v>
      </c>
      <c r="N23" s="12">
        <v>2023</v>
      </c>
      <c r="O23" s="12">
        <v>2023</v>
      </c>
      <c r="P23" s="12">
        <v>2023</v>
      </c>
      <c r="Q23" s="12">
        <v>2023</v>
      </c>
      <c r="R23" s="13">
        <v>0</v>
      </c>
      <c r="S23" s="13">
        <v>0</v>
      </c>
      <c r="T23" s="13">
        <f>146006.08*5</f>
        <v>730030.39999999991</v>
      </c>
      <c r="U23" s="13">
        <f>146006.08*5</f>
        <v>730030.39999999991</v>
      </c>
      <c r="V23" s="13">
        <f>146006.08*5</f>
        <v>730030.39999999991</v>
      </c>
      <c r="W23" s="13">
        <f>146006.08*5</f>
        <v>730030.39999999991</v>
      </c>
      <c r="X23" s="13">
        <f>146006.08*5</f>
        <v>730030.39999999991</v>
      </c>
    </row>
    <row r="24" spans="2:24" ht="61.5" customHeight="1" x14ac:dyDescent="0.3">
      <c r="B24" s="130"/>
      <c r="C24" s="132"/>
      <c r="D24" s="10" t="s">
        <v>27</v>
      </c>
      <c r="E24" s="10">
        <v>4</v>
      </c>
      <c r="F24" s="10" t="s">
        <v>28</v>
      </c>
      <c r="G24" s="20">
        <f t="shared" si="0"/>
        <v>4185715.8</v>
      </c>
      <c r="H24" s="11">
        <f t="shared" si="1"/>
        <v>6976192.9999999991</v>
      </c>
      <c r="I24" s="10" t="s">
        <v>29</v>
      </c>
      <c r="J24" s="10" t="s">
        <v>24</v>
      </c>
      <c r="K24" s="10">
        <v>2029</v>
      </c>
      <c r="L24" s="10"/>
      <c r="M24" s="12"/>
      <c r="N24" s="12"/>
      <c r="O24" s="12"/>
      <c r="P24" s="12"/>
      <c r="Q24" s="12"/>
      <c r="R24" s="13">
        <v>0</v>
      </c>
      <c r="S24" s="13">
        <v>0</v>
      </c>
      <c r="T24" s="13">
        <f>279047.72*5</f>
        <v>1395238.5999999999</v>
      </c>
      <c r="U24" s="13">
        <f>279047.72*5</f>
        <v>1395238.5999999999</v>
      </c>
      <c r="V24" s="13">
        <f>279047.72*5</f>
        <v>1395238.5999999999</v>
      </c>
      <c r="W24" s="13">
        <f>279047.72*5</f>
        <v>1395238.5999999999</v>
      </c>
      <c r="X24" s="13">
        <f>279047.72*5</f>
        <v>1395238.5999999999</v>
      </c>
    </row>
    <row r="25" spans="2:24" ht="61.5" customHeight="1" x14ac:dyDescent="0.3">
      <c r="B25" s="129">
        <v>9</v>
      </c>
      <c r="C25" s="131" t="s">
        <v>37</v>
      </c>
      <c r="D25" s="10" t="s">
        <v>21</v>
      </c>
      <c r="E25" s="10">
        <v>1.58</v>
      </c>
      <c r="F25" s="10" t="s">
        <v>22</v>
      </c>
      <c r="G25" s="11">
        <f t="shared" si="0"/>
        <v>298026</v>
      </c>
      <c r="H25" s="11">
        <f t="shared" si="1"/>
        <v>496710</v>
      </c>
      <c r="I25" s="10" t="s">
        <v>23</v>
      </c>
      <c r="J25" s="10" t="s">
        <v>24</v>
      </c>
      <c r="K25" s="10">
        <v>2029</v>
      </c>
      <c r="L25" s="10" t="s">
        <v>25</v>
      </c>
      <c r="M25" s="12">
        <v>2023</v>
      </c>
      <c r="N25" s="12">
        <v>2023</v>
      </c>
      <c r="O25" s="12">
        <v>2023</v>
      </c>
      <c r="P25" s="12">
        <v>2023</v>
      </c>
      <c r="Q25" s="12">
        <v>2023</v>
      </c>
      <c r="R25" s="13">
        <v>0</v>
      </c>
      <c r="S25" s="13">
        <v>0</v>
      </c>
      <c r="T25" s="13">
        <f>19868.4*5</f>
        <v>99342</v>
      </c>
      <c r="U25" s="13">
        <f>19868.4*5</f>
        <v>99342</v>
      </c>
      <c r="V25" s="13">
        <f>19868.4*5</f>
        <v>99342</v>
      </c>
      <c r="W25" s="13">
        <f>19868.4*5</f>
        <v>99342</v>
      </c>
      <c r="X25" s="13">
        <f>19868.4*5</f>
        <v>99342</v>
      </c>
    </row>
    <row r="26" spans="2:24" ht="61.5" customHeight="1" x14ac:dyDescent="0.3">
      <c r="B26" s="130"/>
      <c r="C26" s="132"/>
      <c r="D26" s="10" t="s">
        <v>27</v>
      </c>
      <c r="E26" s="10">
        <v>6</v>
      </c>
      <c r="F26" s="10" t="s">
        <v>28</v>
      </c>
      <c r="G26" s="20">
        <f t="shared" si="0"/>
        <v>4145400</v>
      </c>
      <c r="H26" s="11">
        <f t="shared" si="1"/>
        <v>6909000</v>
      </c>
      <c r="I26" s="10" t="s">
        <v>29</v>
      </c>
      <c r="J26" s="10" t="s">
        <v>24</v>
      </c>
      <c r="K26" s="10">
        <v>2029</v>
      </c>
      <c r="L26" s="10"/>
      <c r="M26" s="12"/>
      <c r="N26" s="12"/>
      <c r="O26" s="12"/>
      <c r="P26" s="12"/>
      <c r="Q26" s="12"/>
      <c r="R26" s="13">
        <v>0</v>
      </c>
      <c r="S26" s="13">
        <v>0</v>
      </c>
      <c r="T26" s="13">
        <f>276360*5</f>
        <v>1381800</v>
      </c>
      <c r="U26" s="13">
        <f>276360*5</f>
        <v>1381800</v>
      </c>
      <c r="V26" s="13">
        <f>276360*5</f>
        <v>1381800</v>
      </c>
      <c r="W26" s="13">
        <f>276360*5</f>
        <v>1381800</v>
      </c>
      <c r="X26" s="13">
        <f>276360*5</f>
        <v>1381800</v>
      </c>
    </row>
    <row r="27" spans="2:24" ht="61.5" customHeight="1" x14ac:dyDescent="0.3">
      <c r="B27" s="129">
        <v>10</v>
      </c>
      <c r="C27" s="131" t="s">
        <v>38</v>
      </c>
      <c r="D27" s="10" t="s">
        <v>21</v>
      </c>
      <c r="E27" s="10">
        <v>3.75</v>
      </c>
      <c r="F27" s="10" t="s">
        <v>22</v>
      </c>
      <c r="G27" s="11">
        <f t="shared" si="0"/>
        <v>1212326.1000000001</v>
      </c>
      <c r="H27" s="11">
        <f t="shared" si="1"/>
        <v>2020543.5</v>
      </c>
      <c r="I27" s="10" t="s">
        <v>23</v>
      </c>
      <c r="J27" s="10" t="s">
        <v>24</v>
      </c>
      <c r="K27" s="10">
        <v>2029</v>
      </c>
      <c r="L27" s="10" t="s">
        <v>25</v>
      </c>
      <c r="M27" s="12">
        <v>2023</v>
      </c>
      <c r="N27" s="12">
        <v>2023</v>
      </c>
      <c r="O27" s="12">
        <v>2023</v>
      </c>
      <c r="P27" s="12">
        <v>2023</v>
      </c>
      <c r="Q27" s="12">
        <v>2023</v>
      </c>
      <c r="R27" s="13">
        <v>0</v>
      </c>
      <c r="S27" s="13">
        <v>0</v>
      </c>
      <c r="T27" s="13">
        <f>80821.74*5</f>
        <v>404108.7</v>
      </c>
      <c r="U27" s="13">
        <f>80821.74*5</f>
        <v>404108.7</v>
      </c>
      <c r="V27" s="13">
        <f>80821.74*5</f>
        <v>404108.7</v>
      </c>
      <c r="W27" s="13">
        <f>80821.74*5</f>
        <v>404108.7</v>
      </c>
      <c r="X27" s="13">
        <f>80821.74*5</f>
        <v>404108.7</v>
      </c>
    </row>
    <row r="28" spans="2:24" ht="61.5" customHeight="1" x14ac:dyDescent="0.3">
      <c r="B28" s="130"/>
      <c r="C28" s="132"/>
      <c r="D28" s="10" t="s">
        <v>27</v>
      </c>
      <c r="E28" s="10">
        <v>4</v>
      </c>
      <c r="F28" s="10" t="s">
        <v>28</v>
      </c>
      <c r="G28" s="20">
        <f t="shared" si="0"/>
        <v>7966200</v>
      </c>
      <c r="H28" s="11">
        <f t="shared" si="1"/>
        <v>13277000</v>
      </c>
      <c r="I28" s="10" t="s">
        <v>29</v>
      </c>
      <c r="J28" s="10" t="s">
        <v>24</v>
      </c>
      <c r="K28" s="10">
        <v>2029</v>
      </c>
      <c r="L28" s="10"/>
      <c r="M28" s="12"/>
      <c r="N28" s="12"/>
      <c r="O28" s="12"/>
      <c r="P28" s="12"/>
      <c r="Q28" s="12"/>
      <c r="R28" s="13">
        <v>0</v>
      </c>
      <c r="S28" s="13">
        <v>0</v>
      </c>
      <c r="T28" s="13">
        <f>531080*5</f>
        <v>2655400</v>
      </c>
      <c r="U28" s="13">
        <f>531080*5</f>
        <v>2655400</v>
      </c>
      <c r="V28" s="13">
        <f>531080*5</f>
        <v>2655400</v>
      </c>
      <c r="W28" s="13">
        <f>531080*5</f>
        <v>2655400</v>
      </c>
      <c r="X28" s="13">
        <f>531080*5</f>
        <v>2655400</v>
      </c>
    </row>
    <row r="29" spans="2:24" ht="61.5" customHeight="1" x14ac:dyDescent="0.3">
      <c r="B29" s="129">
        <v>11</v>
      </c>
      <c r="C29" s="131" t="s">
        <v>39</v>
      </c>
      <c r="D29" s="10" t="s">
        <v>21</v>
      </c>
      <c r="E29" s="10">
        <v>1.6759999999999999</v>
      </c>
      <c r="F29" s="10" t="s">
        <v>22</v>
      </c>
      <c r="G29" s="11">
        <f t="shared" si="0"/>
        <v>559226.1</v>
      </c>
      <c r="H29" s="11">
        <f t="shared" si="1"/>
        <v>932043.49999999988</v>
      </c>
      <c r="I29" s="10" t="s">
        <v>23</v>
      </c>
      <c r="J29" s="10" t="s">
        <v>24</v>
      </c>
      <c r="K29" s="10">
        <v>2029</v>
      </c>
      <c r="L29" s="10" t="s">
        <v>25</v>
      </c>
      <c r="M29" s="12">
        <v>2023</v>
      </c>
      <c r="N29" s="12">
        <v>2023</v>
      </c>
      <c r="O29" s="12">
        <v>2023</v>
      </c>
      <c r="P29" s="12">
        <v>2023</v>
      </c>
      <c r="Q29" s="12">
        <v>2023</v>
      </c>
      <c r="R29" s="13">
        <v>0</v>
      </c>
      <c r="S29" s="13">
        <v>0</v>
      </c>
      <c r="T29" s="13">
        <f>37281.74*5</f>
        <v>186408.69999999998</v>
      </c>
      <c r="U29" s="13">
        <f>37281.74*5</f>
        <v>186408.69999999998</v>
      </c>
      <c r="V29" s="13">
        <f>37281.74*5</f>
        <v>186408.69999999998</v>
      </c>
      <c r="W29" s="13">
        <f>37281.74*5</f>
        <v>186408.69999999998</v>
      </c>
      <c r="X29" s="13">
        <f>37281.74*5</f>
        <v>186408.69999999998</v>
      </c>
    </row>
    <row r="30" spans="2:24" ht="61.5" customHeight="1" x14ac:dyDescent="0.3">
      <c r="B30" s="130"/>
      <c r="C30" s="132"/>
      <c r="D30" s="10" t="s">
        <v>27</v>
      </c>
      <c r="E30" s="10">
        <v>5</v>
      </c>
      <c r="F30" s="10" t="s">
        <v>28</v>
      </c>
      <c r="G30" s="20">
        <f t="shared" si="0"/>
        <v>8642400</v>
      </c>
      <c r="H30" s="11">
        <f t="shared" si="1"/>
        <v>14404000</v>
      </c>
      <c r="I30" s="10" t="s">
        <v>29</v>
      </c>
      <c r="J30" s="10" t="s">
        <v>24</v>
      </c>
      <c r="K30" s="10">
        <v>2029</v>
      </c>
      <c r="L30" s="10"/>
      <c r="M30" s="12"/>
      <c r="N30" s="12"/>
      <c r="O30" s="12"/>
      <c r="P30" s="12"/>
      <c r="Q30" s="12"/>
      <c r="R30" s="13">
        <v>0</v>
      </c>
      <c r="S30" s="13">
        <v>0</v>
      </c>
      <c r="T30" s="13">
        <f>576160*5</f>
        <v>2880800</v>
      </c>
      <c r="U30" s="13">
        <f>576160*5</f>
        <v>2880800</v>
      </c>
      <c r="V30" s="13">
        <f>576160*5</f>
        <v>2880800</v>
      </c>
      <c r="W30" s="13">
        <f>576160*5</f>
        <v>2880800</v>
      </c>
      <c r="X30" s="13">
        <f>576160*5</f>
        <v>2880800</v>
      </c>
    </row>
    <row r="31" spans="2:24" ht="61.5" customHeight="1" x14ac:dyDescent="0.3">
      <c r="B31" s="129">
        <v>12</v>
      </c>
      <c r="C31" s="131" t="s">
        <v>40</v>
      </c>
      <c r="D31" s="10" t="s">
        <v>21</v>
      </c>
      <c r="E31" s="10">
        <v>22.687999999999999</v>
      </c>
      <c r="F31" s="10" t="s">
        <v>22</v>
      </c>
      <c r="G31" s="11">
        <f t="shared" si="0"/>
        <v>4529511.5999999996</v>
      </c>
      <c r="H31" s="11">
        <f t="shared" si="1"/>
        <v>7549186</v>
      </c>
      <c r="I31" s="10" t="s">
        <v>23</v>
      </c>
      <c r="J31" s="10" t="s">
        <v>24</v>
      </c>
      <c r="K31" s="10">
        <v>2029</v>
      </c>
      <c r="L31" s="10" t="s">
        <v>25</v>
      </c>
      <c r="M31" s="12">
        <v>2023</v>
      </c>
      <c r="N31" s="12">
        <v>2023</v>
      </c>
      <c r="O31" s="12">
        <v>2023</v>
      </c>
      <c r="P31" s="12">
        <v>2023</v>
      </c>
      <c r="Q31" s="12">
        <v>2023</v>
      </c>
      <c r="R31" s="13">
        <v>0</v>
      </c>
      <c r="S31" s="13">
        <v>0</v>
      </c>
      <c r="T31" s="13">
        <f>301967.44*5</f>
        <v>1509837.2</v>
      </c>
      <c r="U31" s="13">
        <f>301967.44*5</f>
        <v>1509837.2</v>
      </c>
      <c r="V31" s="13">
        <f>301967.44*5</f>
        <v>1509837.2</v>
      </c>
      <c r="W31" s="13">
        <f>301967.44*5</f>
        <v>1509837.2</v>
      </c>
      <c r="X31" s="13">
        <f>301967.44*5</f>
        <v>1509837.2</v>
      </c>
    </row>
    <row r="32" spans="2:24" ht="61.5" customHeight="1" x14ac:dyDescent="0.3">
      <c r="B32" s="130"/>
      <c r="C32" s="132"/>
      <c r="D32" s="10" t="s">
        <v>27</v>
      </c>
      <c r="E32" s="10">
        <v>1</v>
      </c>
      <c r="F32" s="10" t="s">
        <v>28</v>
      </c>
      <c r="G32" s="20">
        <f t="shared" si="0"/>
        <v>2073900</v>
      </c>
      <c r="H32" s="11">
        <f t="shared" si="1"/>
        <v>3456500</v>
      </c>
      <c r="I32" s="10" t="s">
        <v>29</v>
      </c>
      <c r="J32" s="10" t="s">
        <v>24</v>
      </c>
      <c r="K32" s="10">
        <v>2029</v>
      </c>
      <c r="L32" s="10"/>
      <c r="M32" s="12"/>
      <c r="N32" s="12"/>
      <c r="O32" s="12"/>
      <c r="P32" s="12"/>
      <c r="Q32" s="12"/>
      <c r="R32" s="13">
        <v>0</v>
      </c>
      <c r="S32" s="13">
        <v>0</v>
      </c>
      <c r="T32" s="13">
        <f>138260*5</f>
        <v>691300</v>
      </c>
      <c r="U32" s="13">
        <f>138260*5</f>
        <v>691300</v>
      </c>
      <c r="V32" s="13">
        <f>138260*5</f>
        <v>691300</v>
      </c>
      <c r="W32" s="13">
        <f>138260*5</f>
        <v>691300</v>
      </c>
      <c r="X32" s="13">
        <f>138260*5</f>
        <v>691300</v>
      </c>
    </row>
    <row r="33" spans="2:24" ht="61.5" customHeight="1" x14ac:dyDescent="0.3">
      <c r="B33" s="129">
        <v>13</v>
      </c>
      <c r="C33" s="131" t="s">
        <v>41</v>
      </c>
      <c r="D33" s="10" t="s">
        <v>21</v>
      </c>
      <c r="E33" s="10">
        <v>22.687999999999999</v>
      </c>
      <c r="F33" s="10" t="s">
        <v>22</v>
      </c>
      <c r="G33" s="11">
        <f t="shared" si="0"/>
        <v>7556592.6000000006</v>
      </c>
      <c r="H33" s="11">
        <f t="shared" si="1"/>
        <v>12594321</v>
      </c>
      <c r="I33" s="10" t="s">
        <v>23</v>
      </c>
      <c r="J33" s="10" t="s">
        <v>24</v>
      </c>
      <c r="K33" s="10">
        <v>2029</v>
      </c>
      <c r="L33" s="10" t="s">
        <v>25</v>
      </c>
      <c r="M33" s="12">
        <v>2023</v>
      </c>
      <c r="N33" s="12">
        <v>2023</v>
      </c>
      <c r="O33" s="12">
        <v>2023</v>
      </c>
      <c r="P33" s="12">
        <v>2023</v>
      </c>
      <c r="Q33" s="12">
        <v>2023</v>
      </c>
      <c r="R33" s="13">
        <v>0</v>
      </c>
      <c r="S33" s="13">
        <v>0</v>
      </c>
      <c r="T33" s="13">
        <f>503772.84*5</f>
        <v>2518864.2000000002</v>
      </c>
      <c r="U33" s="13">
        <f>503772.84*5</f>
        <v>2518864.2000000002</v>
      </c>
      <c r="V33" s="13">
        <f>503772.84*5</f>
        <v>2518864.2000000002</v>
      </c>
      <c r="W33" s="13">
        <f>503772.84*5</f>
        <v>2518864.2000000002</v>
      </c>
      <c r="X33" s="13">
        <f>503772.84*5</f>
        <v>2518864.2000000002</v>
      </c>
    </row>
    <row r="34" spans="2:24" ht="61.5" customHeight="1" x14ac:dyDescent="0.3">
      <c r="B34" s="130"/>
      <c r="C34" s="132"/>
      <c r="D34" s="10" t="s">
        <v>27</v>
      </c>
      <c r="E34" s="10">
        <v>1</v>
      </c>
      <c r="F34" s="10" t="s">
        <v>28</v>
      </c>
      <c r="G34" s="20">
        <f t="shared" si="0"/>
        <v>3489000</v>
      </c>
      <c r="H34" s="11">
        <f t="shared" si="1"/>
        <v>5815000</v>
      </c>
      <c r="I34" s="10" t="s">
        <v>29</v>
      </c>
      <c r="J34" s="10" t="s">
        <v>24</v>
      </c>
      <c r="K34" s="10">
        <v>2029</v>
      </c>
      <c r="L34" s="10"/>
      <c r="M34" s="12"/>
      <c r="N34" s="12"/>
      <c r="O34" s="12"/>
      <c r="P34" s="12"/>
      <c r="Q34" s="12"/>
      <c r="R34" s="13">
        <v>0</v>
      </c>
      <c r="S34" s="13">
        <v>0</v>
      </c>
      <c r="T34" s="13">
        <f>232600*5</f>
        <v>1163000</v>
      </c>
      <c r="U34" s="13">
        <f>232600*5</f>
        <v>1163000</v>
      </c>
      <c r="V34" s="13">
        <f>232600*5</f>
        <v>1163000</v>
      </c>
      <c r="W34" s="13">
        <f>232600*5</f>
        <v>1163000</v>
      </c>
      <c r="X34" s="13">
        <f>232600*5</f>
        <v>1163000</v>
      </c>
    </row>
    <row r="35" spans="2:24" ht="61.5" customHeight="1" x14ac:dyDescent="0.3">
      <c r="B35" s="129">
        <v>14</v>
      </c>
      <c r="C35" s="131" t="s">
        <v>42</v>
      </c>
      <c r="D35" s="10" t="s">
        <v>21</v>
      </c>
      <c r="E35" s="10">
        <v>2.7519999999999998</v>
      </c>
      <c r="F35" s="10" t="s">
        <v>22</v>
      </c>
      <c r="G35" s="11">
        <f t="shared" si="0"/>
        <v>736295.1</v>
      </c>
      <c r="H35" s="11">
        <f t="shared" si="1"/>
        <v>1227158.5</v>
      </c>
      <c r="I35" s="10" t="s">
        <v>23</v>
      </c>
      <c r="J35" s="10" t="s">
        <v>24</v>
      </c>
      <c r="K35" s="10">
        <v>2029</v>
      </c>
      <c r="L35" s="10" t="s">
        <v>25</v>
      </c>
      <c r="M35" s="12">
        <v>2023</v>
      </c>
      <c r="N35" s="12">
        <v>2023</v>
      </c>
      <c r="O35" s="12">
        <v>2023</v>
      </c>
      <c r="P35" s="12">
        <v>2023</v>
      </c>
      <c r="Q35" s="12">
        <v>2023</v>
      </c>
      <c r="R35" s="13">
        <v>0</v>
      </c>
      <c r="S35" s="13">
        <v>0</v>
      </c>
      <c r="T35" s="13">
        <f>49086.34*5</f>
        <v>245431.69999999998</v>
      </c>
      <c r="U35" s="13">
        <f>49086.34*5</f>
        <v>245431.69999999998</v>
      </c>
      <c r="V35" s="13">
        <f>49086.34*5</f>
        <v>245431.69999999998</v>
      </c>
      <c r="W35" s="13">
        <f>49086.34*5</f>
        <v>245431.69999999998</v>
      </c>
      <c r="X35" s="13">
        <f>49086.34*5</f>
        <v>245431.69999999998</v>
      </c>
    </row>
    <row r="36" spans="2:24" ht="61.5" customHeight="1" x14ac:dyDescent="0.3">
      <c r="B36" s="130"/>
      <c r="C36" s="132"/>
      <c r="D36" s="10" t="s">
        <v>27</v>
      </c>
      <c r="E36" s="10">
        <v>1</v>
      </c>
      <c r="F36" s="10" t="s">
        <v>28</v>
      </c>
      <c r="G36" s="20">
        <f t="shared" si="0"/>
        <v>704700</v>
      </c>
      <c r="H36" s="11">
        <f t="shared" si="1"/>
        <v>1174500</v>
      </c>
      <c r="I36" s="10" t="s">
        <v>29</v>
      </c>
      <c r="J36" s="10" t="s">
        <v>24</v>
      </c>
      <c r="K36" s="10">
        <v>2029</v>
      </c>
      <c r="L36" s="10"/>
      <c r="M36" s="12"/>
      <c r="N36" s="12"/>
      <c r="O36" s="12"/>
      <c r="P36" s="12"/>
      <c r="Q36" s="12"/>
      <c r="R36" s="13">
        <v>0</v>
      </c>
      <c r="S36" s="13">
        <v>0</v>
      </c>
      <c r="T36" s="13">
        <f>46980*5</f>
        <v>234900</v>
      </c>
      <c r="U36" s="13">
        <f>46980*5</f>
        <v>234900</v>
      </c>
      <c r="V36" s="13">
        <f>46980*5</f>
        <v>234900</v>
      </c>
      <c r="W36" s="13">
        <f>46980*5</f>
        <v>234900</v>
      </c>
      <c r="X36" s="13">
        <f>46980*5</f>
        <v>234900</v>
      </c>
    </row>
    <row r="37" spans="2:24" ht="61.5" customHeight="1" x14ac:dyDescent="0.3">
      <c r="B37" s="129">
        <v>15</v>
      </c>
      <c r="C37" s="131" t="s">
        <v>43</v>
      </c>
      <c r="D37" s="10" t="s">
        <v>21</v>
      </c>
      <c r="E37" s="10">
        <v>9.5410000000000004</v>
      </c>
      <c r="F37" s="10" t="s">
        <v>22</v>
      </c>
      <c r="G37" s="11">
        <f t="shared" si="0"/>
        <v>1521861.9000000001</v>
      </c>
      <c r="H37" s="11">
        <f t="shared" si="1"/>
        <v>2536436.5</v>
      </c>
      <c r="I37" s="10" t="s">
        <v>23</v>
      </c>
      <c r="J37" s="10" t="s">
        <v>24</v>
      </c>
      <c r="K37" s="10">
        <v>2029</v>
      </c>
      <c r="L37" s="10" t="s">
        <v>25</v>
      </c>
      <c r="M37" s="12">
        <v>2023</v>
      </c>
      <c r="N37" s="12">
        <v>2023</v>
      </c>
      <c r="O37" s="12">
        <v>2023</v>
      </c>
      <c r="P37" s="12">
        <v>2023</v>
      </c>
      <c r="Q37" s="12">
        <v>2023</v>
      </c>
      <c r="R37" s="13">
        <v>0</v>
      </c>
      <c r="S37" s="13">
        <v>0</v>
      </c>
      <c r="T37" s="13">
        <f>101457.46*5</f>
        <v>507287.30000000005</v>
      </c>
      <c r="U37" s="13">
        <f>101457.46*5</f>
        <v>507287.30000000005</v>
      </c>
      <c r="V37" s="13">
        <f>101457.46*5</f>
        <v>507287.30000000005</v>
      </c>
      <c r="W37" s="13">
        <f>101457.46*5</f>
        <v>507287.30000000005</v>
      </c>
      <c r="X37" s="13">
        <f>101457.46*5</f>
        <v>507287.30000000005</v>
      </c>
    </row>
    <row r="38" spans="2:24" ht="61.5" customHeight="1" x14ac:dyDescent="0.3">
      <c r="B38" s="130"/>
      <c r="C38" s="132"/>
      <c r="D38" s="10" t="s">
        <v>27</v>
      </c>
      <c r="E38" s="10">
        <v>2</v>
      </c>
      <c r="F38" s="10" t="s">
        <v>28</v>
      </c>
      <c r="G38" s="20">
        <f t="shared" si="0"/>
        <v>1778569.2000000002</v>
      </c>
      <c r="H38" s="11">
        <f t="shared" si="1"/>
        <v>2964282</v>
      </c>
      <c r="I38" s="10" t="s">
        <v>29</v>
      </c>
      <c r="J38" s="10" t="s">
        <v>24</v>
      </c>
      <c r="K38" s="10">
        <v>2029</v>
      </c>
      <c r="L38" s="10"/>
      <c r="M38" s="12"/>
      <c r="N38" s="12"/>
      <c r="O38" s="12"/>
      <c r="P38" s="12"/>
      <c r="Q38" s="12"/>
      <c r="R38" s="13">
        <v>0</v>
      </c>
      <c r="S38" s="13">
        <v>0</v>
      </c>
      <c r="T38" s="13">
        <f>118571.28*5</f>
        <v>592856.4</v>
      </c>
      <c r="U38" s="13">
        <f>118571.28*5</f>
        <v>592856.4</v>
      </c>
      <c r="V38" s="13">
        <f>118571.28*5</f>
        <v>592856.4</v>
      </c>
      <c r="W38" s="13">
        <f>118571.28*5</f>
        <v>592856.4</v>
      </c>
      <c r="X38" s="13">
        <f>118571.28*5</f>
        <v>592856.4</v>
      </c>
    </row>
    <row r="39" spans="2:24" ht="61.5" customHeight="1" x14ac:dyDescent="0.3">
      <c r="B39" s="129">
        <v>16</v>
      </c>
      <c r="C39" s="131" t="s">
        <v>44</v>
      </c>
      <c r="D39" s="10" t="s">
        <v>21</v>
      </c>
      <c r="E39" s="10">
        <v>2.1890000000000001</v>
      </c>
      <c r="F39" s="10" t="s">
        <v>22</v>
      </c>
      <c r="G39" s="11">
        <f t="shared" si="0"/>
        <v>846983.39999999991</v>
      </c>
      <c r="H39" s="11">
        <f t="shared" si="1"/>
        <v>1411639</v>
      </c>
      <c r="I39" s="10" t="s">
        <v>23</v>
      </c>
      <c r="J39" s="10" t="s">
        <v>24</v>
      </c>
      <c r="K39" s="10">
        <v>2029</v>
      </c>
      <c r="L39" s="10" t="s">
        <v>25</v>
      </c>
      <c r="M39" s="12">
        <v>2023</v>
      </c>
      <c r="N39" s="12">
        <v>2023</v>
      </c>
      <c r="O39" s="12">
        <v>2023</v>
      </c>
      <c r="P39" s="12">
        <v>2023</v>
      </c>
      <c r="Q39" s="12">
        <v>2023</v>
      </c>
      <c r="R39" s="13">
        <v>0</v>
      </c>
      <c r="S39" s="13">
        <v>0</v>
      </c>
      <c r="T39" s="13">
        <f>56465.56*5</f>
        <v>282327.8</v>
      </c>
      <c r="U39" s="13">
        <f>56465.56*5</f>
        <v>282327.8</v>
      </c>
      <c r="V39" s="13">
        <f>56465.56*5</f>
        <v>282327.8</v>
      </c>
      <c r="W39" s="13">
        <f>56465.56*5</f>
        <v>282327.8</v>
      </c>
      <c r="X39" s="13">
        <f>56465.56*5</f>
        <v>282327.8</v>
      </c>
    </row>
    <row r="40" spans="2:24" ht="61.5" customHeight="1" x14ac:dyDescent="0.3">
      <c r="B40" s="130"/>
      <c r="C40" s="132"/>
      <c r="D40" s="10" t="s">
        <v>27</v>
      </c>
      <c r="E40" s="10">
        <v>2</v>
      </c>
      <c r="F40" s="10" t="s">
        <v>28</v>
      </c>
      <c r="G40" s="20">
        <f t="shared" si="0"/>
        <v>1683000</v>
      </c>
      <c r="H40" s="11">
        <f t="shared" si="1"/>
        <v>2805000</v>
      </c>
      <c r="I40" s="10" t="s">
        <v>29</v>
      </c>
      <c r="J40" s="10" t="s">
        <v>24</v>
      </c>
      <c r="K40" s="10">
        <v>2029</v>
      </c>
      <c r="L40" s="10"/>
      <c r="M40" s="12"/>
      <c r="N40" s="12"/>
      <c r="O40" s="12"/>
      <c r="P40" s="12"/>
      <c r="Q40" s="12"/>
      <c r="R40" s="13">
        <v>0</v>
      </c>
      <c r="S40" s="13">
        <v>0</v>
      </c>
      <c r="T40" s="13">
        <f>112200*5</f>
        <v>561000</v>
      </c>
      <c r="U40" s="13">
        <f>112200*5</f>
        <v>561000</v>
      </c>
      <c r="V40" s="13">
        <f>112200*5</f>
        <v>561000</v>
      </c>
      <c r="W40" s="13">
        <f>112200*5</f>
        <v>561000</v>
      </c>
      <c r="X40" s="13">
        <f>112200*5</f>
        <v>561000</v>
      </c>
    </row>
    <row r="41" spans="2:24" ht="75" customHeight="1" x14ac:dyDescent="0.3">
      <c r="B41" s="129">
        <v>17</v>
      </c>
      <c r="C41" s="129" t="s">
        <v>45</v>
      </c>
      <c r="D41" s="9" t="s">
        <v>27</v>
      </c>
      <c r="E41" s="9">
        <v>1</v>
      </c>
      <c r="F41" s="9" t="s">
        <v>46</v>
      </c>
      <c r="G41" s="14">
        <f t="shared" si="0"/>
        <v>2500000</v>
      </c>
      <c r="H41" s="14">
        <f t="shared" si="1"/>
        <v>2500000</v>
      </c>
      <c r="I41" s="9" t="s">
        <v>29</v>
      </c>
      <c r="J41" s="9" t="s">
        <v>26</v>
      </c>
      <c r="K41" s="9">
        <v>2027</v>
      </c>
      <c r="L41" s="9"/>
      <c r="M41" s="15"/>
      <c r="N41" s="15"/>
      <c r="O41" s="15"/>
      <c r="P41" s="15"/>
      <c r="Q41" s="15"/>
      <c r="R41" s="17"/>
      <c r="S41" s="17"/>
      <c r="T41" s="17">
        <v>500000</v>
      </c>
      <c r="U41" s="17">
        <v>500000</v>
      </c>
      <c r="V41" s="17">
        <v>1500000</v>
      </c>
      <c r="W41" s="16">
        <v>0</v>
      </c>
      <c r="X41" s="17">
        <v>0</v>
      </c>
    </row>
    <row r="42" spans="2:24" ht="75" customHeight="1" x14ac:dyDescent="0.3">
      <c r="B42" s="134"/>
      <c r="C42" s="134"/>
      <c r="D42" s="10" t="s">
        <v>21</v>
      </c>
      <c r="E42" s="10">
        <v>2.766</v>
      </c>
      <c r="F42" s="10" t="s">
        <v>22</v>
      </c>
      <c r="G42" s="11">
        <f t="shared" si="0"/>
        <v>970800</v>
      </c>
      <c r="H42" s="11">
        <f t="shared" si="1"/>
        <v>1618000</v>
      </c>
      <c r="I42" s="10" t="s">
        <v>23</v>
      </c>
      <c r="J42" s="10" t="s">
        <v>24</v>
      </c>
      <c r="K42" s="10">
        <v>2029</v>
      </c>
      <c r="L42" s="10" t="s">
        <v>25</v>
      </c>
      <c r="M42" s="12">
        <v>2023</v>
      </c>
      <c r="N42" s="12">
        <v>2023</v>
      </c>
      <c r="O42" s="12">
        <v>2023</v>
      </c>
      <c r="P42" s="12">
        <v>2023</v>
      </c>
      <c r="Q42" s="12">
        <v>2023</v>
      </c>
      <c r="R42" s="13">
        <v>0</v>
      </c>
      <c r="S42" s="13">
        <v>0</v>
      </c>
      <c r="T42" s="13">
        <f>64720*5</f>
        <v>323600</v>
      </c>
      <c r="U42" s="13">
        <f>64720*5</f>
        <v>323600</v>
      </c>
      <c r="V42" s="13">
        <f>64720*5</f>
        <v>323600</v>
      </c>
      <c r="W42" s="13">
        <f>64720*5</f>
        <v>323600</v>
      </c>
      <c r="X42" s="13">
        <f>64720*5</f>
        <v>323600</v>
      </c>
    </row>
    <row r="43" spans="2:24" ht="75" customHeight="1" x14ac:dyDescent="0.3">
      <c r="B43" s="130"/>
      <c r="C43" s="130"/>
      <c r="D43" s="10" t="s">
        <v>27</v>
      </c>
      <c r="E43" s="10">
        <v>5</v>
      </c>
      <c r="F43" s="10" t="s">
        <v>28</v>
      </c>
      <c r="G43" s="20">
        <f t="shared" si="0"/>
        <v>15540600</v>
      </c>
      <c r="H43" s="11">
        <f t="shared" si="1"/>
        <v>25901000</v>
      </c>
      <c r="I43" s="10" t="s">
        <v>29</v>
      </c>
      <c r="J43" s="10" t="s">
        <v>24</v>
      </c>
      <c r="K43" s="10">
        <v>2029</v>
      </c>
      <c r="L43" s="10"/>
      <c r="M43" s="12"/>
      <c r="N43" s="12"/>
      <c r="O43" s="12"/>
      <c r="P43" s="12"/>
      <c r="Q43" s="12"/>
      <c r="R43" s="13">
        <v>0</v>
      </c>
      <c r="S43" s="13">
        <v>0</v>
      </c>
      <c r="T43" s="13">
        <f>1036040*5</f>
        <v>5180200</v>
      </c>
      <c r="U43" s="13">
        <f>1036040*5</f>
        <v>5180200</v>
      </c>
      <c r="V43" s="13">
        <f>1036040*5</f>
        <v>5180200</v>
      </c>
      <c r="W43" s="13">
        <f>1036040*5</f>
        <v>5180200</v>
      </c>
      <c r="X43" s="13">
        <f>1036040*5</f>
        <v>5180200</v>
      </c>
    </row>
    <row r="44" spans="2:24" ht="75" customHeight="1" x14ac:dyDescent="0.3">
      <c r="B44" s="9">
        <v>18</v>
      </c>
      <c r="C44" s="9" t="s">
        <v>47</v>
      </c>
      <c r="D44" s="10" t="s">
        <v>27</v>
      </c>
      <c r="E44" s="10">
        <v>3</v>
      </c>
      <c r="F44" s="10" t="s">
        <v>28</v>
      </c>
      <c r="G44" s="20">
        <f t="shared" si="0"/>
        <v>1646400</v>
      </c>
      <c r="H44" s="11">
        <f t="shared" si="1"/>
        <v>2744000</v>
      </c>
      <c r="I44" s="10" t="s">
        <v>29</v>
      </c>
      <c r="J44" s="10" t="s">
        <v>24</v>
      </c>
      <c r="K44" s="10">
        <v>2029</v>
      </c>
      <c r="L44" s="10"/>
      <c r="M44" s="12"/>
      <c r="N44" s="12"/>
      <c r="O44" s="12"/>
      <c r="P44" s="12"/>
      <c r="Q44" s="12"/>
      <c r="R44" s="13">
        <v>0</v>
      </c>
      <c r="S44" s="13">
        <v>0</v>
      </c>
      <c r="T44" s="13">
        <f>109760*5</f>
        <v>548800</v>
      </c>
      <c r="U44" s="13">
        <f>109760*5</f>
        <v>548800</v>
      </c>
      <c r="V44" s="13">
        <f>109760*5</f>
        <v>548800</v>
      </c>
      <c r="W44" s="13">
        <f>109760*5</f>
        <v>548800</v>
      </c>
      <c r="X44" s="13">
        <f>109760*5</f>
        <v>548800</v>
      </c>
    </row>
    <row r="45" spans="2:24" ht="78" x14ac:dyDescent="0.3">
      <c r="B45" s="9">
        <v>19</v>
      </c>
      <c r="C45" s="9" t="s">
        <v>48</v>
      </c>
      <c r="D45" s="9" t="s">
        <v>49</v>
      </c>
      <c r="E45" s="9">
        <v>0.4</v>
      </c>
      <c r="F45" s="9" t="s">
        <v>22</v>
      </c>
      <c r="G45" s="14">
        <f t="shared" si="0"/>
        <v>136000</v>
      </c>
      <c r="H45" s="14">
        <f t="shared" si="1"/>
        <v>136000</v>
      </c>
      <c r="I45" s="9" t="s">
        <v>50</v>
      </c>
      <c r="J45" s="3" t="s">
        <v>26</v>
      </c>
      <c r="K45" s="9">
        <v>2024</v>
      </c>
      <c r="L45" s="9" t="s">
        <v>51</v>
      </c>
      <c r="M45" s="15">
        <v>2024</v>
      </c>
      <c r="N45" s="15">
        <v>2024</v>
      </c>
      <c r="O45" s="15">
        <v>2024</v>
      </c>
      <c r="P45" s="15" t="s">
        <v>52</v>
      </c>
      <c r="Q45" s="15"/>
      <c r="R45" s="17">
        <v>6000</v>
      </c>
      <c r="S45" s="17">
        <v>130000</v>
      </c>
      <c r="T45" s="17">
        <v>0</v>
      </c>
      <c r="U45" s="17">
        <v>0</v>
      </c>
      <c r="V45" s="16">
        <v>0</v>
      </c>
      <c r="W45" s="16">
        <v>0</v>
      </c>
      <c r="X45" s="17">
        <v>0</v>
      </c>
    </row>
    <row r="46" spans="2:24" ht="93.6" x14ac:dyDescent="0.3">
      <c r="B46" s="129">
        <v>20</v>
      </c>
      <c r="C46" s="129" t="s">
        <v>53</v>
      </c>
      <c r="D46" s="10" t="s">
        <v>21</v>
      </c>
      <c r="E46" s="10">
        <v>7.1529999999999996</v>
      </c>
      <c r="F46" s="10" t="s">
        <v>22</v>
      </c>
      <c r="G46" s="11">
        <f t="shared" si="0"/>
        <v>2383569</v>
      </c>
      <c r="H46" s="11">
        <f t="shared" si="1"/>
        <v>3972615</v>
      </c>
      <c r="I46" s="10" t="s">
        <v>23</v>
      </c>
      <c r="J46" s="10" t="s">
        <v>24</v>
      </c>
      <c r="K46" s="10">
        <v>2029</v>
      </c>
      <c r="L46" s="10" t="s">
        <v>25</v>
      </c>
      <c r="M46" s="12">
        <v>2023</v>
      </c>
      <c r="N46" s="12">
        <v>2023</v>
      </c>
      <c r="O46" s="12">
        <v>2023</v>
      </c>
      <c r="P46" s="12">
        <v>2023</v>
      </c>
      <c r="Q46" s="12">
        <v>2023</v>
      </c>
      <c r="R46" s="13">
        <v>0</v>
      </c>
      <c r="S46" s="13">
        <v>0</v>
      </c>
      <c r="T46" s="13">
        <f>158904.6*5</f>
        <v>794523</v>
      </c>
      <c r="U46" s="13">
        <f>158904.6*5</f>
        <v>794523</v>
      </c>
      <c r="V46" s="13">
        <f>158904.6*5</f>
        <v>794523</v>
      </c>
      <c r="W46" s="13">
        <f>158904.6*5</f>
        <v>794523</v>
      </c>
      <c r="X46" s="13">
        <f>158904.6*5</f>
        <v>794523</v>
      </c>
    </row>
    <row r="47" spans="2:24" ht="62.4" x14ac:dyDescent="0.3">
      <c r="B47" s="134"/>
      <c r="C47" s="135"/>
      <c r="D47" s="10" t="s">
        <v>27</v>
      </c>
      <c r="E47" s="10">
        <v>4</v>
      </c>
      <c r="F47" s="10" t="s">
        <v>28</v>
      </c>
      <c r="G47" s="20">
        <f t="shared" si="0"/>
        <v>11694900</v>
      </c>
      <c r="H47" s="11">
        <f t="shared" si="1"/>
        <v>19491500</v>
      </c>
      <c r="I47" s="10" t="s">
        <v>29</v>
      </c>
      <c r="J47" s="10" t="s">
        <v>24</v>
      </c>
      <c r="K47" s="10">
        <v>2029</v>
      </c>
      <c r="L47" s="10"/>
      <c r="M47" s="12"/>
      <c r="N47" s="12"/>
      <c r="O47" s="12"/>
      <c r="P47" s="12"/>
      <c r="Q47" s="12"/>
      <c r="R47" s="13">
        <v>0</v>
      </c>
      <c r="S47" s="13">
        <v>0</v>
      </c>
      <c r="T47" s="13">
        <f>779660*5</f>
        <v>3898300</v>
      </c>
      <c r="U47" s="13">
        <f>779660*5</f>
        <v>3898300</v>
      </c>
      <c r="V47" s="13">
        <f>779660*5</f>
        <v>3898300</v>
      </c>
      <c r="W47" s="13">
        <f>779660*5</f>
        <v>3898300</v>
      </c>
      <c r="X47" s="13">
        <f>779660*5</f>
        <v>3898300</v>
      </c>
    </row>
    <row r="48" spans="2:24" ht="64.5" customHeight="1" x14ac:dyDescent="0.3">
      <c r="B48" s="130"/>
      <c r="C48" s="132"/>
      <c r="D48" s="9" t="s">
        <v>54</v>
      </c>
      <c r="E48" s="9">
        <v>1</v>
      </c>
      <c r="F48" s="9" t="s">
        <v>46</v>
      </c>
      <c r="G48" s="14">
        <f t="shared" si="0"/>
        <v>2000000</v>
      </c>
      <c r="H48" s="14">
        <f t="shared" si="1"/>
        <v>2000000</v>
      </c>
      <c r="I48" s="9" t="s">
        <v>55</v>
      </c>
      <c r="J48" s="9" t="s">
        <v>26</v>
      </c>
      <c r="K48" s="9">
        <v>2024</v>
      </c>
      <c r="L48" s="9"/>
      <c r="M48" s="15"/>
      <c r="N48" s="15"/>
      <c r="O48" s="15"/>
      <c r="P48" s="15"/>
      <c r="Q48" s="15"/>
      <c r="R48" s="17"/>
      <c r="S48" s="17"/>
      <c r="T48" s="17"/>
      <c r="U48" s="17">
        <v>1000000</v>
      </c>
      <c r="V48" s="17">
        <v>1000000</v>
      </c>
      <c r="W48" s="16">
        <v>0</v>
      </c>
      <c r="X48" s="17">
        <v>0</v>
      </c>
    </row>
    <row r="49" spans="2:25" ht="59.25" customHeight="1" x14ac:dyDescent="0.3">
      <c r="B49" s="129">
        <v>21</v>
      </c>
      <c r="C49" s="129" t="s">
        <v>56</v>
      </c>
      <c r="D49" s="21" t="s">
        <v>57</v>
      </c>
      <c r="E49" s="21">
        <v>1</v>
      </c>
      <c r="F49" s="21" t="s">
        <v>46</v>
      </c>
      <c r="G49" s="14">
        <f t="shared" si="0"/>
        <v>2500000</v>
      </c>
      <c r="H49" s="14">
        <f t="shared" si="1"/>
        <v>2500000</v>
      </c>
      <c r="I49" s="21" t="s">
        <v>58</v>
      </c>
      <c r="J49" s="21" t="s">
        <v>59</v>
      </c>
      <c r="K49" s="21">
        <v>2025</v>
      </c>
      <c r="L49" s="21"/>
      <c r="M49" s="22"/>
      <c r="N49" s="22"/>
      <c r="O49" s="22"/>
      <c r="P49" s="22"/>
      <c r="Q49" s="22"/>
      <c r="R49" s="23"/>
      <c r="S49" s="23">
        <v>1500000</v>
      </c>
      <c r="T49" s="23">
        <v>1000000</v>
      </c>
      <c r="U49" s="23"/>
      <c r="V49" s="23"/>
      <c r="W49" s="16">
        <v>0</v>
      </c>
      <c r="X49" s="23">
        <v>0</v>
      </c>
    </row>
    <row r="50" spans="2:25" ht="59.25" customHeight="1" x14ac:dyDescent="0.3">
      <c r="B50" s="134"/>
      <c r="C50" s="134"/>
      <c r="D50" s="10" t="s">
        <v>21</v>
      </c>
      <c r="E50" s="10">
        <f>8.58+1.61</f>
        <v>10.19</v>
      </c>
      <c r="F50" s="10" t="s">
        <v>22</v>
      </c>
      <c r="G50" s="11">
        <f>R50+S50+T50+U50+V50</f>
        <v>2343651</v>
      </c>
      <c r="H50" s="11">
        <f t="shared" si="1"/>
        <v>3906085</v>
      </c>
      <c r="I50" s="10" t="s">
        <v>23</v>
      </c>
      <c r="J50" s="10" t="s">
        <v>24</v>
      </c>
      <c r="K50" s="10">
        <v>2029</v>
      </c>
      <c r="L50" s="10" t="s">
        <v>25</v>
      </c>
      <c r="M50" s="12">
        <v>2023</v>
      </c>
      <c r="N50" s="12">
        <v>2023</v>
      </c>
      <c r="O50" s="12">
        <v>2023</v>
      </c>
      <c r="P50" s="12">
        <v>2023</v>
      </c>
      <c r="Q50" s="12">
        <v>2023</v>
      </c>
      <c r="R50" s="13">
        <v>0</v>
      </c>
      <c r="S50" s="13">
        <v>0</v>
      </c>
      <c r="T50" s="13">
        <f>(111240+16003.4+27600+1400)*5</f>
        <v>781217</v>
      </c>
      <c r="U50" s="13">
        <f>(111240+16003.4+27600+1400)*5</f>
        <v>781217</v>
      </c>
      <c r="V50" s="13">
        <f>(111240+16003.4+27600+1400)*5</f>
        <v>781217</v>
      </c>
      <c r="W50" s="13">
        <f>(111240+16003.4+27600+1400)*5</f>
        <v>781217</v>
      </c>
      <c r="X50" s="13">
        <f>(111240+16003.4+27600+1400)*5</f>
        <v>781217</v>
      </c>
    </row>
    <row r="51" spans="2:25" ht="59.25" customHeight="1" x14ac:dyDescent="0.3">
      <c r="B51" s="130"/>
      <c r="C51" s="130"/>
      <c r="D51" s="10" t="s">
        <v>27</v>
      </c>
      <c r="E51" s="10">
        <v>2</v>
      </c>
      <c r="F51" s="10" t="s">
        <v>28</v>
      </c>
      <c r="G51" s="20">
        <f>R51+S51+T51+U51+V51</f>
        <v>1667910</v>
      </c>
      <c r="H51" s="11">
        <f t="shared" si="1"/>
        <v>2779850</v>
      </c>
      <c r="I51" s="10" t="s">
        <v>29</v>
      </c>
      <c r="J51" s="10" t="s">
        <v>24</v>
      </c>
      <c r="K51" s="10">
        <v>2029</v>
      </c>
      <c r="L51" s="10"/>
      <c r="M51" s="12"/>
      <c r="N51" s="12"/>
      <c r="O51" s="12"/>
      <c r="P51" s="12"/>
      <c r="Q51" s="12"/>
      <c r="R51" s="13">
        <v>0</v>
      </c>
      <c r="S51" s="13">
        <v>0</v>
      </c>
      <c r="T51" s="13">
        <f>(48554+62640)*5</f>
        <v>555970</v>
      </c>
      <c r="U51" s="13">
        <f>(48554+62640)*5</f>
        <v>555970</v>
      </c>
      <c r="V51" s="13">
        <f>(48554+62640)*5</f>
        <v>555970</v>
      </c>
      <c r="W51" s="13">
        <f>(48554+62640)*5</f>
        <v>555970</v>
      </c>
      <c r="X51" s="13">
        <f>(48554+62640)*5</f>
        <v>555970</v>
      </c>
    </row>
    <row r="52" spans="2:25" ht="59.25" customHeight="1" x14ac:dyDescent="0.3">
      <c r="B52" s="129">
        <v>22</v>
      </c>
      <c r="C52" s="129" t="s">
        <v>60</v>
      </c>
      <c r="D52" s="10" t="s">
        <v>21</v>
      </c>
      <c r="E52" s="10">
        <f>30.86</f>
        <v>30.86</v>
      </c>
      <c r="F52" s="10" t="s">
        <v>22</v>
      </c>
      <c r="G52" s="11">
        <f>R52+S52+T52+U52+V52</f>
        <v>6391923.8999999994</v>
      </c>
      <c r="H52" s="11">
        <f t="shared" si="1"/>
        <v>10653206.5</v>
      </c>
      <c r="I52" s="10" t="s">
        <v>23</v>
      </c>
      <c r="J52" s="10" t="s">
        <v>24</v>
      </c>
      <c r="K52" s="10">
        <v>2029</v>
      </c>
      <c r="L52" s="10" t="s">
        <v>25</v>
      </c>
      <c r="M52" s="12">
        <v>2023</v>
      </c>
      <c r="N52" s="12">
        <v>2023</v>
      </c>
      <c r="O52" s="12">
        <v>2023</v>
      </c>
      <c r="P52" s="12">
        <v>2023</v>
      </c>
      <c r="Q52" s="12">
        <v>2023</v>
      </c>
      <c r="R52" s="13">
        <v>0</v>
      </c>
      <c r="S52" s="13">
        <v>0</v>
      </c>
      <c r="T52" s="13">
        <f>426128.26*5</f>
        <v>2130641.2999999998</v>
      </c>
      <c r="U52" s="13">
        <f>426128.26*5</f>
        <v>2130641.2999999998</v>
      </c>
      <c r="V52" s="13">
        <f>426128.26*5</f>
        <v>2130641.2999999998</v>
      </c>
      <c r="W52" s="13">
        <f>426128.26*5</f>
        <v>2130641.2999999998</v>
      </c>
      <c r="X52" s="13">
        <f>426128.26*5</f>
        <v>2130641.2999999998</v>
      </c>
    </row>
    <row r="53" spans="2:25" ht="59.25" customHeight="1" x14ac:dyDescent="0.3">
      <c r="B53" s="134"/>
      <c r="C53" s="135"/>
      <c r="D53" s="10" t="s">
        <v>27</v>
      </c>
      <c r="E53" s="10">
        <v>3</v>
      </c>
      <c r="F53" s="10" t="s">
        <v>28</v>
      </c>
      <c r="G53" s="20">
        <f>R53+S53+T53+U53+V53</f>
        <v>2993850</v>
      </c>
      <c r="H53" s="11">
        <f t="shared" si="1"/>
        <v>4989750</v>
      </c>
      <c r="I53" s="10" t="s">
        <v>29</v>
      </c>
      <c r="J53" s="10" t="s">
        <v>24</v>
      </c>
      <c r="K53" s="10">
        <v>2029</v>
      </c>
      <c r="L53" s="10"/>
      <c r="M53" s="12"/>
      <c r="N53" s="12"/>
      <c r="O53" s="12"/>
      <c r="P53" s="12"/>
      <c r="Q53" s="12"/>
      <c r="R53" s="13">
        <v>0</v>
      </c>
      <c r="S53" s="13">
        <v>0</v>
      </c>
      <c r="T53" s="13">
        <f>199590*5</f>
        <v>997950</v>
      </c>
      <c r="U53" s="13">
        <f>199590*5</f>
        <v>997950</v>
      </c>
      <c r="V53" s="13">
        <f>199590*5</f>
        <v>997950</v>
      </c>
      <c r="W53" s="13">
        <f>199590*5</f>
        <v>997950</v>
      </c>
      <c r="X53" s="13">
        <f>199590*5</f>
        <v>997950</v>
      </c>
    </row>
    <row r="54" spans="2:25" ht="59.25" customHeight="1" x14ac:dyDescent="0.3">
      <c r="B54" s="133"/>
      <c r="C54" s="132"/>
      <c r="D54" s="21" t="s">
        <v>61</v>
      </c>
      <c r="E54" s="21">
        <v>1</v>
      </c>
      <c r="F54" s="21" t="s">
        <v>46</v>
      </c>
      <c r="G54" s="14">
        <f t="shared" si="0"/>
        <v>2500000</v>
      </c>
      <c r="H54" s="14">
        <f t="shared" si="1"/>
        <v>2500000</v>
      </c>
      <c r="I54" s="21" t="s">
        <v>58</v>
      </c>
      <c r="J54" s="21" t="s">
        <v>59</v>
      </c>
      <c r="K54" s="21">
        <v>2025</v>
      </c>
      <c r="L54" s="21"/>
      <c r="M54" s="22"/>
      <c r="N54" s="22"/>
      <c r="O54" s="22"/>
      <c r="P54" s="22"/>
      <c r="Q54" s="22"/>
      <c r="R54" s="23"/>
      <c r="S54" s="23">
        <v>1500000</v>
      </c>
      <c r="T54" s="23">
        <v>1000000</v>
      </c>
      <c r="U54" s="23"/>
      <c r="V54" s="23"/>
      <c r="W54" s="16">
        <v>0</v>
      </c>
      <c r="X54" s="23">
        <v>0</v>
      </c>
    </row>
    <row r="55" spans="2:25" ht="80.25" customHeight="1" x14ac:dyDescent="0.3">
      <c r="B55" s="129">
        <v>23</v>
      </c>
      <c r="C55" s="131" t="s">
        <v>62</v>
      </c>
      <c r="D55" s="10" t="s">
        <v>21</v>
      </c>
      <c r="E55" s="10">
        <v>16.3</v>
      </c>
      <c r="F55" s="10" t="s">
        <v>22</v>
      </c>
      <c r="G55" s="11">
        <f t="shared" si="0"/>
        <v>5991468.1500000004</v>
      </c>
      <c r="H55" s="11">
        <f t="shared" si="1"/>
        <v>9985780.25</v>
      </c>
      <c r="I55" s="10" t="s">
        <v>23</v>
      </c>
      <c r="J55" s="10" t="s">
        <v>24</v>
      </c>
      <c r="K55" s="10">
        <v>2029</v>
      </c>
      <c r="L55" s="10" t="s">
        <v>25</v>
      </c>
      <c r="M55" s="12">
        <v>2023</v>
      </c>
      <c r="N55" s="12">
        <v>2023</v>
      </c>
      <c r="O55" s="12">
        <v>2023</v>
      </c>
      <c r="P55" s="12">
        <v>2023</v>
      </c>
      <c r="Q55" s="12">
        <v>2023</v>
      </c>
      <c r="R55" s="13">
        <v>0</v>
      </c>
      <c r="S55" s="13">
        <v>0</v>
      </c>
      <c r="T55" s="13">
        <f>399431.21*5</f>
        <v>1997156.05</v>
      </c>
      <c r="U55" s="13">
        <f>399431.21*5</f>
        <v>1997156.05</v>
      </c>
      <c r="V55" s="13">
        <f>399431.21*5</f>
        <v>1997156.05</v>
      </c>
      <c r="W55" s="13">
        <f>399431.21*5</f>
        <v>1997156.05</v>
      </c>
      <c r="X55" s="13">
        <f>399431.21*5</f>
        <v>1997156.05</v>
      </c>
    </row>
    <row r="56" spans="2:25" ht="59.25" customHeight="1" x14ac:dyDescent="0.3">
      <c r="B56" s="130"/>
      <c r="C56" s="132"/>
      <c r="D56" s="10" t="s">
        <v>27</v>
      </c>
      <c r="E56" s="10">
        <v>1</v>
      </c>
      <c r="F56" s="10" t="s">
        <v>28</v>
      </c>
      <c r="G56" s="20">
        <f t="shared" si="0"/>
        <v>957300</v>
      </c>
      <c r="H56" s="11">
        <f t="shared" si="1"/>
        <v>1595500</v>
      </c>
      <c r="I56" s="10" t="s">
        <v>29</v>
      </c>
      <c r="J56" s="10" t="s">
        <v>24</v>
      </c>
      <c r="K56" s="10">
        <v>2029</v>
      </c>
      <c r="L56" s="10"/>
      <c r="M56" s="12"/>
      <c r="N56" s="12"/>
      <c r="O56" s="12"/>
      <c r="P56" s="12"/>
      <c r="Q56" s="12"/>
      <c r="R56" s="13">
        <v>0</v>
      </c>
      <c r="S56" s="13">
        <v>0</v>
      </c>
      <c r="T56" s="13">
        <f>63820*5</f>
        <v>319100</v>
      </c>
      <c r="U56" s="13">
        <f>63820*5</f>
        <v>319100</v>
      </c>
      <c r="V56" s="13">
        <f>63820*5</f>
        <v>319100</v>
      </c>
      <c r="W56" s="13">
        <f>63820*5</f>
        <v>319100</v>
      </c>
      <c r="X56" s="13">
        <f>63820*5</f>
        <v>319100</v>
      </c>
    </row>
    <row r="57" spans="2:25" ht="59.25" customHeight="1" x14ac:dyDescent="0.3">
      <c r="B57" s="129">
        <v>24</v>
      </c>
      <c r="C57" s="129" t="s">
        <v>63</v>
      </c>
      <c r="D57" s="10" t="s">
        <v>27</v>
      </c>
      <c r="E57" s="10">
        <v>1</v>
      </c>
      <c r="F57" s="10" t="s">
        <v>28</v>
      </c>
      <c r="G57" s="20">
        <f>R57+S57+T57+U57+V57</f>
        <v>180000</v>
      </c>
      <c r="H57" s="11">
        <f t="shared" si="1"/>
        <v>300000</v>
      </c>
      <c r="I57" s="10" t="s">
        <v>29</v>
      </c>
      <c r="J57" s="10" t="s">
        <v>24</v>
      </c>
      <c r="K57" s="10">
        <v>2029</v>
      </c>
      <c r="L57" s="10"/>
      <c r="M57" s="12"/>
      <c r="N57" s="12"/>
      <c r="O57" s="12"/>
      <c r="P57" s="12"/>
      <c r="Q57" s="12"/>
      <c r="R57" s="13">
        <v>0</v>
      </c>
      <c r="S57" s="13">
        <v>0</v>
      </c>
      <c r="T57" s="13">
        <f>12000*5</f>
        <v>60000</v>
      </c>
      <c r="U57" s="13">
        <f>12000*5</f>
        <v>60000</v>
      </c>
      <c r="V57" s="13">
        <f>12000*5</f>
        <v>60000</v>
      </c>
      <c r="W57" s="13">
        <f>12000*5</f>
        <v>60000</v>
      </c>
      <c r="X57" s="13">
        <f>12000*5</f>
        <v>60000</v>
      </c>
    </row>
    <row r="58" spans="2:25" ht="59.25" customHeight="1" x14ac:dyDescent="0.3">
      <c r="B58" s="133"/>
      <c r="C58" s="132"/>
      <c r="D58" s="21" t="s">
        <v>64</v>
      </c>
      <c r="E58" s="21">
        <v>1</v>
      </c>
      <c r="F58" s="21" t="s">
        <v>46</v>
      </c>
      <c r="G58" s="14">
        <f t="shared" si="0"/>
        <v>2000000</v>
      </c>
      <c r="H58" s="14">
        <f t="shared" si="1"/>
        <v>2000000</v>
      </c>
      <c r="I58" s="21" t="s">
        <v>58</v>
      </c>
      <c r="J58" s="21" t="s">
        <v>59</v>
      </c>
      <c r="K58" s="21">
        <v>2025</v>
      </c>
      <c r="L58" s="21"/>
      <c r="M58" s="22"/>
      <c r="N58" s="22"/>
      <c r="O58" s="22"/>
      <c r="P58" s="22"/>
      <c r="Q58" s="22"/>
      <c r="R58" s="23"/>
      <c r="S58" s="23">
        <v>1000000</v>
      </c>
      <c r="T58" s="23">
        <v>1000000</v>
      </c>
      <c r="U58" s="23"/>
      <c r="V58" s="23"/>
      <c r="W58" s="16">
        <v>0</v>
      </c>
      <c r="X58" s="23">
        <v>0</v>
      </c>
    </row>
    <row r="59" spans="2:25" ht="59.25" customHeight="1" x14ac:dyDescent="0.3">
      <c r="B59" s="129">
        <v>25</v>
      </c>
      <c r="C59" s="129" t="s">
        <v>65</v>
      </c>
      <c r="D59" s="10" t="s">
        <v>21</v>
      </c>
      <c r="E59" s="10">
        <v>1.98</v>
      </c>
      <c r="F59" s="10" t="s">
        <v>22</v>
      </c>
      <c r="G59" s="11">
        <f>R59+S59+T59+U59+V59</f>
        <v>311160</v>
      </c>
      <c r="H59" s="11">
        <f t="shared" si="1"/>
        <v>518600</v>
      </c>
      <c r="I59" s="10" t="s">
        <v>23</v>
      </c>
      <c r="J59" s="10" t="s">
        <v>24</v>
      </c>
      <c r="K59" s="10">
        <v>2029</v>
      </c>
      <c r="L59" s="10" t="s">
        <v>25</v>
      </c>
      <c r="M59" s="12">
        <v>2023</v>
      </c>
      <c r="N59" s="12">
        <v>2023</v>
      </c>
      <c r="O59" s="12">
        <v>2023</v>
      </c>
      <c r="P59" s="12">
        <v>2023</v>
      </c>
      <c r="Q59" s="12">
        <v>2023</v>
      </c>
      <c r="R59" s="13">
        <v>0</v>
      </c>
      <c r="S59" s="13">
        <v>0</v>
      </c>
      <c r="T59" s="13">
        <f>20744*5</f>
        <v>103720</v>
      </c>
      <c r="U59" s="13">
        <f>20744*5</f>
        <v>103720</v>
      </c>
      <c r="V59" s="13">
        <f>20744*5</f>
        <v>103720</v>
      </c>
      <c r="W59" s="13">
        <f>20744*5</f>
        <v>103720</v>
      </c>
      <c r="X59" s="13">
        <f>20744*5</f>
        <v>103720</v>
      </c>
    </row>
    <row r="60" spans="2:25" ht="59.25" customHeight="1" x14ac:dyDescent="0.3">
      <c r="B60" s="134"/>
      <c r="C60" s="135"/>
      <c r="D60" s="21" t="s">
        <v>66</v>
      </c>
      <c r="E60" s="21">
        <v>1</v>
      </c>
      <c r="F60" s="21" t="s">
        <v>46</v>
      </c>
      <c r="G60" s="14">
        <f t="shared" si="0"/>
        <v>1500000</v>
      </c>
      <c r="H60" s="14">
        <f t="shared" si="1"/>
        <v>1500000</v>
      </c>
      <c r="I60" s="21" t="s">
        <v>58</v>
      </c>
      <c r="J60" s="21" t="s">
        <v>59</v>
      </c>
      <c r="K60" s="21">
        <v>2025</v>
      </c>
      <c r="L60" s="21"/>
      <c r="M60" s="22"/>
      <c r="N60" s="22"/>
      <c r="O60" s="22"/>
      <c r="P60" s="22"/>
      <c r="Q60" s="22"/>
      <c r="R60" s="23"/>
      <c r="S60" s="23">
        <v>1000000</v>
      </c>
      <c r="T60" s="23">
        <v>500000</v>
      </c>
      <c r="U60" s="23"/>
      <c r="V60" s="23"/>
      <c r="W60" s="16">
        <v>0</v>
      </c>
      <c r="X60" s="23">
        <v>0</v>
      </c>
    </row>
    <row r="61" spans="2:25" ht="59.25" customHeight="1" x14ac:dyDescent="0.3">
      <c r="B61" s="130"/>
      <c r="C61" s="132"/>
      <c r="D61" s="21" t="s">
        <v>67</v>
      </c>
      <c r="E61" s="21">
        <v>1</v>
      </c>
      <c r="F61" s="21" t="s">
        <v>46</v>
      </c>
      <c r="G61" s="14">
        <f t="shared" si="0"/>
        <v>1500000</v>
      </c>
      <c r="H61" s="14">
        <f t="shared" si="1"/>
        <v>1500000</v>
      </c>
      <c r="I61" s="21" t="s">
        <v>58</v>
      </c>
      <c r="J61" s="21" t="s">
        <v>59</v>
      </c>
      <c r="K61" s="21">
        <v>2025</v>
      </c>
      <c r="L61" s="21"/>
      <c r="M61" s="22"/>
      <c r="N61" s="22"/>
      <c r="O61" s="22"/>
      <c r="P61" s="22"/>
      <c r="Q61" s="22"/>
      <c r="R61" s="23"/>
      <c r="S61" s="23">
        <v>1000000</v>
      </c>
      <c r="T61" s="23">
        <v>500000</v>
      </c>
      <c r="U61" s="23"/>
      <c r="V61" s="23"/>
      <c r="W61" s="16">
        <v>0</v>
      </c>
      <c r="X61" s="23">
        <v>0</v>
      </c>
    </row>
    <row r="62" spans="2:25" ht="59.25" customHeight="1" x14ac:dyDescent="0.3">
      <c r="B62" s="9">
        <v>26</v>
      </c>
      <c r="C62" s="9" t="s">
        <v>68</v>
      </c>
      <c r="D62" s="21" t="s">
        <v>69</v>
      </c>
      <c r="E62" s="21">
        <v>1</v>
      </c>
      <c r="F62" s="21" t="s">
        <v>46</v>
      </c>
      <c r="G62" s="14">
        <f t="shared" si="0"/>
        <v>2000000</v>
      </c>
      <c r="H62" s="14">
        <f t="shared" si="1"/>
        <v>2000000</v>
      </c>
      <c r="I62" s="21" t="s">
        <v>58</v>
      </c>
      <c r="J62" s="21" t="s">
        <v>59</v>
      </c>
      <c r="K62" s="21">
        <v>2025</v>
      </c>
      <c r="L62" s="21"/>
      <c r="M62" s="22"/>
      <c r="N62" s="22"/>
      <c r="O62" s="22"/>
      <c r="P62" s="22"/>
      <c r="Q62" s="22"/>
      <c r="R62" s="23"/>
      <c r="S62" s="23">
        <v>1000000</v>
      </c>
      <c r="T62" s="23">
        <v>1000000</v>
      </c>
      <c r="U62" s="23"/>
      <c r="V62" s="23"/>
      <c r="W62" s="16">
        <v>0</v>
      </c>
      <c r="X62" s="23">
        <v>0</v>
      </c>
    </row>
    <row r="63" spans="2:25" ht="61.5" customHeight="1" x14ac:dyDescent="0.3">
      <c r="B63" s="9">
        <v>27</v>
      </c>
      <c r="C63" s="9" t="s">
        <v>70</v>
      </c>
      <c r="D63" s="9" t="s">
        <v>49</v>
      </c>
      <c r="E63" s="9">
        <v>0.8</v>
      </c>
      <c r="F63" s="9" t="s">
        <v>22</v>
      </c>
      <c r="G63" s="14">
        <f>R63+S63</f>
        <v>361000</v>
      </c>
      <c r="H63" s="14">
        <f t="shared" si="1"/>
        <v>361000</v>
      </c>
      <c r="I63" s="9" t="s">
        <v>71</v>
      </c>
      <c r="J63" s="3" t="s">
        <v>26</v>
      </c>
      <c r="K63" s="9">
        <v>2024</v>
      </c>
      <c r="L63" s="9" t="s">
        <v>51</v>
      </c>
      <c r="M63" s="15">
        <v>2026</v>
      </c>
      <c r="N63" s="15">
        <v>2026</v>
      </c>
      <c r="O63" s="15">
        <v>2026</v>
      </c>
      <c r="P63" s="15" t="s">
        <v>52</v>
      </c>
      <c r="Q63" s="15" t="s">
        <v>52</v>
      </c>
      <c r="R63" s="17">
        <f>10000-9000</f>
        <v>1000</v>
      </c>
      <c r="S63" s="17">
        <v>360000</v>
      </c>
      <c r="T63" s="17">
        <f>G63*0%</f>
        <v>0</v>
      </c>
      <c r="U63" s="17">
        <v>0</v>
      </c>
      <c r="V63" s="17">
        <f>G63*0%</f>
        <v>0</v>
      </c>
      <c r="W63" s="17">
        <v>0</v>
      </c>
      <c r="X63" s="23">
        <v>0</v>
      </c>
    </row>
    <row r="64" spans="2:25" ht="16.2" thickBot="1" x14ac:dyDescent="0.35">
      <c r="B64" s="124" t="s">
        <v>72</v>
      </c>
      <c r="C64" s="125"/>
      <c r="D64" s="125"/>
      <c r="E64" s="126"/>
      <c r="F64" s="24">
        <f>SUM(G6:G63)</f>
        <v>425272776.44999999</v>
      </c>
      <c r="G64" s="25"/>
      <c r="H64" s="26">
        <f>SUM(H6:H63)</f>
        <v>677835738.75</v>
      </c>
      <c r="I64" s="25"/>
      <c r="J64" s="25"/>
      <c r="K64" s="25"/>
      <c r="R64" s="27">
        <f t="shared" ref="R64:X64" si="2">SUM(R6:R63)</f>
        <v>2558333</v>
      </c>
      <c r="S64">
        <f t="shared" si="2"/>
        <v>10355000</v>
      </c>
      <c r="T64">
        <f t="shared" si="2"/>
        <v>137856481.15000001</v>
      </c>
      <c r="U64">
        <f t="shared" si="2"/>
        <v>136771481.15000004</v>
      </c>
      <c r="V64">
        <f t="shared" si="2"/>
        <v>137731481.15000004</v>
      </c>
      <c r="W64">
        <f t="shared" si="2"/>
        <v>126281481.15000001</v>
      </c>
      <c r="X64">
        <f t="shared" si="2"/>
        <v>126281481.15000001</v>
      </c>
      <c r="Y64" s="27"/>
    </row>
    <row r="65" spans="1:25" ht="15.6" x14ac:dyDescent="0.3">
      <c r="B65" s="127" t="s">
        <v>73</v>
      </c>
      <c r="C65" s="127"/>
      <c r="D65" s="127"/>
      <c r="E65" s="127"/>
      <c r="F65" s="127"/>
      <c r="G65" s="127"/>
      <c r="H65" s="127"/>
      <c r="I65" s="127"/>
      <c r="J65" s="127"/>
    </row>
    <row r="67" spans="1:25" x14ac:dyDescent="0.3">
      <c r="G67" t="s">
        <v>74</v>
      </c>
      <c r="I67" t="s">
        <v>26</v>
      </c>
      <c r="R67" s="27">
        <f>R63+R62+R61+R60+R58+R54+R49+R48+R41+R13+R11+R8+R7+R45</f>
        <v>2558333</v>
      </c>
      <c r="S67" s="27">
        <f>S63+S62+S61+S60+S58+S54+S49+S48+S41+S13+S11+S8+S7+S45</f>
        <v>10355000</v>
      </c>
      <c r="T67" s="27">
        <f>T63+T62+T61+T60+T58+T54+T49+T48+T41+T13+T11+T8+T7+T45</f>
        <v>11575000</v>
      </c>
      <c r="U67" s="27">
        <f>U63+U62+U61+U60+U58+U54+U49+U48+U41+U13+U11+U8+U7+U45</f>
        <v>10490000</v>
      </c>
      <c r="V67" s="27">
        <f>V63+V62+V61+V60+V58+V54+V49+V48+V41+V13+V11+V8+V7+V45</f>
        <v>11450000</v>
      </c>
    </row>
    <row r="68" spans="1:25" x14ac:dyDescent="0.3">
      <c r="I68" t="s">
        <v>24</v>
      </c>
      <c r="R68" s="27">
        <f>R59+R57+R56+R55+R53+R52+R51+R50+R47+R46+R44+R43+R42+R40+R39+R38+R37+R36+R35+R34+R33+R32+R31+R30+R29+R28+R27+R26+R25+R24+R23+R22+R21+R20+R19+R18+R17+R16+R15+R14+R12+R10+R9+R6</f>
        <v>0</v>
      </c>
      <c r="S68" s="27">
        <f>S59+S57+S56+S55+S53+S52+S51+S50+S47+S46+S44+S43+S42+S40+S39+S38+S37+S36+S35+S34+S33+S32+S31+S30+S29+S28+S27+S26+S25+S24+S23+S22+S21+S20+S19+S18+S17+S16+S15+S14+S12+S10+S9+S6</f>
        <v>0</v>
      </c>
      <c r="T68" s="27">
        <f>T59+T57+T56+T55+T53+T52+T51+T50+T47+T46+T44+T43+T42+T40+T39+T38+T37+T36+T35+T34+T33+T32+T31+T30+T29+T28+T27+T26+T25+T24+T23+T22+T21+T20+T19+T18+T17+T16+T15+T14+T12+T10+T9+T6</f>
        <v>126281481.14999998</v>
      </c>
      <c r="U68" s="27">
        <f>U59+U57+U56+U55+U53+U52+U51+U50+U47+U46+U44+U43+U42+U40+U39+U38+U37+U36+U35+U34+U33+U32+U31+U30+U29+U28+U27+U26+U25+U24+U23+U22+U21+U20+U19+U18+U17+U16+U15+U14+U12+U10+U9+U6</f>
        <v>126281481.14999998</v>
      </c>
      <c r="V68" s="27">
        <f>V59+V57+V56+V55+V53+V52+V51+V50+V47+V46+V44+V43+V42+V40+V39+V38+V37+V36+V35+V34+V33+V32+V31+V30+V29+V28+V27+V26+V25+V24+V23+V22+V21+V20+V19+V18+V17+V16+V15+V14+V12+V10+V9+V6</f>
        <v>126281481.14999998</v>
      </c>
    </row>
    <row r="70" spans="1:25" ht="15.6" x14ac:dyDescent="0.3">
      <c r="B70" s="128" t="s">
        <v>75</v>
      </c>
      <c r="C70" s="128"/>
      <c r="D70" s="128"/>
      <c r="E70" s="128"/>
      <c r="F70" s="128"/>
      <c r="G70" s="128"/>
      <c r="H70" s="128"/>
      <c r="I70" s="128"/>
      <c r="J70" s="128"/>
      <c r="K70" s="128"/>
      <c r="R70" s="2"/>
      <c r="S70" s="2"/>
      <c r="T70" s="2"/>
      <c r="U70" s="2"/>
      <c r="V70" s="2"/>
      <c r="W70" s="2"/>
      <c r="X70" s="2"/>
      <c r="Y70" s="2"/>
    </row>
    <row r="71" spans="1:25" ht="15.6" x14ac:dyDescent="0.3">
      <c r="B71" s="79" t="s">
        <v>1</v>
      </c>
      <c r="C71" s="80" t="s">
        <v>2</v>
      </c>
      <c r="D71" s="80"/>
      <c r="E71" s="80"/>
      <c r="F71" s="80"/>
      <c r="G71" s="80"/>
      <c r="H71" s="80"/>
      <c r="I71" s="80"/>
      <c r="J71" s="80"/>
      <c r="K71" s="80"/>
      <c r="L71" s="80"/>
      <c r="M71" s="81" t="s">
        <v>3</v>
      </c>
      <c r="N71" s="81"/>
      <c r="O71" s="81"/>
      <c r="P71" s="81"/>
      <c r="Q71" s="81"/>
      <c r="R71" s="6"/>
      <c r="S71" s="82" t="s">
        <v>4</v>
      </c>
      <c r="T71" s="82"/>
      <c r="U71" s="82"/>
      <c r="V71" s="82"/>
      <c r="W71" s="82"/>
      <c r="X71" s="6"/>
      <c r="Y71" s="6"/>
    </row>
    <row r="72" spans="1:25" ht="93.6" x14ac:dyDescent="0.3">
      <c r="B72" s="79"/>
      <c r="C72" s="3" t="s">
        <v>5</v>
      </c>
      <c r="D72" s="28" t="s">
        <v>76</v>
      </c>
      <c r="E72" s="28" t="s">
        <v>6</v>
      </c>
      <c r="F72" s="28" t="s">
        <v>7</v>
      </c>
      <c r="G72" s="28" t="s">
        <v>8</v>
      </c>
      <c r="H72" s="28" t="s">
        <v>9</v>
      </c>
      <c r="I72" s="28" t="s">
        <v>77</v>
      </c>
      <c r="J72" s="28" t="s">
        <v>11</v>
      </c>
      <c r="K72" s="28" t="s">
        <v>12</v>
      </c>
      <c r="L72" s="28" t="s">
        <v>13</v>
      </c>
      <c r="M72" s="28" t="s">
        <v>14</v>
      </c>
      <c r="N72" s="28" t="s">
        <v>15</v>
      </c>
      <c r="O72" s="28" t="s">
        <v>16</v>
      </c>
      <c r="P72" s="28" t="s">
        <v>17</v>
      </c>
      <c r="Q72" s="28" t="s">
        <v>78</v>
      </c>
      <c r="R72" s="28" t="s">
        <v>13</v>
      </c>
      <c r="S72" s="7">
        <v>2023</v>
      </c>
      <c r="T72" s="7">
        <v>2024</v>
      </c>
      <c r="U72" s="7">
        <v>2025</v>
      </c>
      <c r="V72" s="7">
        <v>2026</v>
      </c>
      <c r="W72" s="7">
        <v>2027</v>
      </c>
      <c r="X72" s="7">
        <v>2028</v>
      </c>
      <c r="Y72" s="7">
        <v>2029</v>
      </c>
    </row>
    <row r="73" spans="1:25" ht="31.2" x14ac:dyDescent="0.3">
      <c r="A73" s="29"/>
      <c r="B73" s="3">
        <v>1</v>
      </c>
      <c r="C73" s="3" t="s">
        <v>20</v>
      </c>
      <c r="D73" s="3" t="s">
        <v>20</v>
      </c>
      <c r="E73" s="10" t="s">
        <v>79</v>
      </c>
      <c r="F73" s="10">
        <v>36.405000000000001</v>
      </c>
      <c r="G73" s="10" t="s">
        <v>22</v>
      </c>
      <c r="H73" s="11">
        <f>S73+T73+U73+V73+W73</f>
        <v>15162933</v>
      </c>
      <c r="I73" s="11">
        <f>S73+T73+U73+V73+W73+X73+Y73</f>
        <v>25271555</v>
      </c>
      <c r="J73" s="10" t="s">
        <v>80</v>
      </c>
      <c r="K73" s="10" t="s">
        <v>24</v>
      </c>
      <c r="L73" s="10">
        <v>2029</v>
      </c>
      <c r="M73" s="10"/>
      <c r="N73" s="12"/>
      <c r="O73" s="12"/>
      <c r="P73" s="12"/>
      <c r="Q73" s="12"/>
      <c r="R73" s="12">
        <v>2029</v>
      </c>
      <c r="S73" s="30"/>
      <c r="T73" s="30"/>
      <c r="U73" s="30">
        <f>1010862.2*5</f>
        <v>5054311</v>
      </c>
      <c r="V73" s="30">
        <f>1010862.2*5</f>
        <v>5054311</v>
      </c>
      <c r="W73" s="30">
        <f>1010862.2*5</f>
        <v>5054311</v>
      </c>
      <c r="X73" s="30">
        <f>1010862.2*5</f>
        <v>5054311</v>
      </c>
      <c r="Y73" s="30">
        <f>1010862.2*5</f>
        <v>5054311</v>
      </c>
    </row>
    <row r="74" spans="1:25" ht="109.5" customHeight="1" x14ac:dyDescent="0.3">
      <c r="B74" s="83">
        <v>2</v>
      </c>
      <c r="C74" s="83" t="s">
        <v>30</v>
      </c>
      <c r="D74" s="83" t="s">
        <v>81</v>
      </c>
      <c r="E74" s="31" t="s">
        <v>82</v>
      </c>
      <c r="F74" s="31">
        <v>1</v>
      </c>
      <c r="G74" s="31" t="s">
        <v>46</v>
      </c>
      <c r="H74" s="11">
        <f>S74+T74+U74+V74+W74</f>
        <v>58669770</v>
      </c>
      <c r="I74" s="11">
        <f>S74+T74+U74+V74+W74+X74+Y74</f>
        <v>97782950</v>
      </c>
      <c r="J74" s="31" t="s">
        <v>83</v>
      </c>
      <c r="K74" s="10" t="s">
        <v>24</v>
      </c>
      <c r="L74" s="31"/>
      <c r="M74" s="31"/>
      <c r="N74" s="31"/>
      <c r="O74" s="31"/>
      <c r="P74" s="31"/>
      <c r="Q74" s="31"/>
      <c r="R74" s="10">
        <v>2029</v>
      </c>
      <c r="S74" s="32"/>
      <c r="T74" s="32"/>
      <c r="U74" s="32">
        <f>3911318*5</f>
        <v>19556590</v>
      </c>
      <c r="V74" s="32">
        <f>3911318*5</f>
        <v>19556590</v>
      </c>
      <c r="W74" s="32">
        <f>3911318*5</f>
        <v>19556590</v>
      </c>
      <c r="X74" s="32">
        <f>3911318*5</f>
        <v>19556590</v>
      </c>
      <c r="Y74" s="32">
        <f>3911318*5</f>
        <v>19556590</v>
      </c>
    </row>
    <row r="75" spans="1:25" ht="109.5" customHeight="1" x14ac:dyDescent="0.3">
      <c r="A75" s="29"/>
      <c r="B75" s="83"/>
      <c r="C75" s="83"/>
      <c r="D75" s="83"/>
      <c r="E75" s="31" t="s">
        <v>79</v>
      </c>
      <c r="F75" s="31">
        <f>48.74</f>
        <v>48.74</v>
      </c>
      <c r="G75" s="31" t="s">
        <v>22</v>
      </c>
      <c r="H75" s="11">
        <f>S75+T75+U75+V75+W75</f>
        <v>28800346.200000003</v>
      </c>
      <c r="I75" s="11">
        <f>S75+T75+U75+V75+W75+X75+Y75</f>
        <v>48000577</v>
      </c>
      <c r="J75" s="31" t="s">
        <v>80</v>
      </c>
      <c r="K75" s="10" t="s">
        <v>24</v>
      </c>
      <c r="L75" s="31"/>
      <c r="M75" s="31"/>
      <c r="N75" s="31"/>
      <c r="O75" s="31"/>
      <c r="P75" s="31"/>
      <c r="Q75" s="31"/>
      <c r="R75" s="10">
        <v>2029</v>
      </c>
      <c r="S75" s="32"/>
      <c r="T75" s="32"/>
      <c r="U75" s="32">
        <f>9600115.4/5*5</f>
        <v>9600115.4000000004</v>
      </c>
      <c r="V75" s="32">
        <f>9600115.4/5*5</f>
        <v>9600115.4000000004</v>
      </c>
      <c r="W75" s="32">
        <f>9600115.4/5*5</f>
        <v>9600115.4000000004</v>
      </c>
      <c r="X75" s="32">
        <f>9600115.4/5*5</f>
        <v>9600115.4000000004</v>
      </c>
      <c r="Y75" s="32">
        <f>9600115.4/5*5</f>
        <v>9600115.4000000004</v>
      </c>
    </row>
    <row r="76" spans="1:25" ht="46.8" x14ac:dyDescent="0.3">
      <c r="B76" s="84"/>
      <c r="C76" s="121"/>
      <c r="D76" s="122"/>
      <c r="E76" s="9" t="s">
        <v>84</v>
      </c>
      <c r="F76" s="9">
        <v>1</v>
      </c>
      <c r="G76" s="14" t="s">
        <v>46</v>
      </c>
      <c r="H76" s="14">
        <f>627628*4.92</f>
        <v>3087929.76</v>
      </c>
      <c r="I76" s="14">
        <f>627628*4.92</f>
        <v>3087929.76</v>
      </c>
      <c r="J76" s="83" t="s">
        <v>85</v>
      </c>
      <c r="K76" s="9" t="s">
        <v>86</v>
      </c>
      <c r="L76" s="9">
        <v>2023</v>
      </c>
      <c r="M76" s="15"/>
      <c r="N76" s="15">
        <v>2021</v>
      </c>
      <c r="O76" s="15">
        <v>2022</v>
      </c>
      <c r="P76" s="15">
        <v>2022</v>
      </c>
      <c r="Q76" s="15">
        <v>2021</v>
      </c>
      <c r="R76" s="15">
        <v>2024</v>
      </c>
      <c r="S76" s="14">
        <v>3087930</v>
      </c>
      <c r="T76" s="14">
        <v>-0.24000000022351742</v>
      </c>
      <c r="U76" s="33"/>
      <c r="V76" s="34"/>
      <c r="W76" s="34"/>
      <c r="X76" s="34">
        <v>0</v>
      </c>
      <c r="Y76" s="34">
        <v>0</v>
      </c>
    </row>
    <row r="77" spans="1:25" ht="78" x14ac:dyDescent="0.3">
      <c r="B77" s="84"/>
      <c r="C77" s="121"/>
      <c r="D77" s="122"/>
      <c r="E77" s="9" t="s">
        <v>87</v>
      </c>
      <c r="F77" s="9">
        <v>1</v>
      </c>
      <c r="G77" s="14" t="s">
        <v>46</v>
      </c>
      <c r="H77" s="14">
        <f>6000000*23.37%</f>
        <v>1402200</v>
      </c>
      <c r="I77" s="14">
        <f>6000000*23.37%</f>
        <v>1402200</v>
      </c>
      <c r="J77" s="83"/>
      <c r="K77" s="9" t="s">
        <v>26</v>
      </c>
      <c r="L77" s="9"/>
      <c r="M77" s="15"/>
      <c r="N77" s="15"/>
      <c r="O77" s="15"/>
      <c r="P77" s="15"/>
      <c r="Q77" s="15"/>
      <c r="R77" s="15">
        <v>2024</v>
      </c>
      <c r="S77" s="14">
        <f>1300000*23.37%</f>
        <v>303810</v>
      </c>
      <c r="T77" s="14">
        <v>1098390</v>
      </c>
      <c r="U77" s="33"/>
      <c r="V77" s="34"/>
      <c r="W77" s="34"/>
      <c r="X77" s="34">
        <v>0</v>
      </c>
      <c r="Y77" s="34">
        <v>0</v>
      </c>
    </row>
    <row r="78" spans="1:25" ht="46.8" x14ac:dyDescent="0.3">
      <c r="B78" s="83">
        <v>3</v>
      </c>
      <c r="C78" s="83" t="s">
        <v>88</v>
      </c>
      <c r="D78" s="83" t="s">
        <v>89</v>
      </c>
      <c r="E78" s="31" t="s">
        <v>90</v>
      </c>
      <c r="F78" s="31">
        <v>1</v>
      </c>
      <c r="G78" s="31" t="s">
        <v>46</v>
      </c>
      <c r="H78" s="11">
        <f>S78+T78+U78+V78+W78</f>
        <v>5909587.5</v>
      </c>
      <c r="I78" s="11">
        <f>S78+T78+U78+V78+W78+X78+Y78</f>
        <v>9849312.5</v>
      </c>
      <c r="J78" s="31" t="s">
        <v>83</v>
      </c>
      <c r="K78" s="10" t="s">
        <v>24</v>
      </c>
      <c r="L78" s="31"/>
      <c r="M78" s="31"/>
      <c r="N78" s="31"/>
      <c r="O78" s="31"/>
      <c r="P78" s="31"/>
      <c r="Q78" s="31"/>
      <c r="R78" s="10">
        <v>2029</v>
      </c>
      <c r="S78" s="32"/>
      <c r="T78" s="32"/>
      <c r="U78" s="32">
        <f>393972.5*5</f>
        <v>1969862.5</v>
      </c>
      <c r="V78" s="32">
        <f>393972.5*5</f>
        <v>1969862.5</v>
      </c>
      <c r="W78" s="32">
        <f>393972.5*5</f>
        <v>1969862.5</v>
      </c>
      <c r="X78" s="32">
        <f>393972.5*5</f>
        <v>1969862.5</v>
      </c>
      <c r="Y78" s="32">
        <f>393972.5*5</f>
        <v>1969862.5</v>
      </c>
    </row>
    <row r="79" spans="1:25" ht="46.8" x14ac:dyDescent="0.3">
      <c r="B79" s="122">
        <v>2</v>
      </c>
      <c r="C79" s="123" t="s">
        <v>88</v>
      </c>
      <c r="D79" s="122"/>
      <c r="E79" s="9" t="s">
        <v>91</v>
      </c>
      <c r="F79" s="9">
        <v>1</v>
      </c>
      <c r="G79" s="14" t="s">
        <v>46</v>
      </c>
      <c r="H79" s="14">
        <f>372851*4.92</f>
        <v>1834426.92</v>
      </c>
      <c r="I79" s="14">
        <f>372851*4.92</f>
        <v>1834426.92</v>
      </c>
      <c r="J79" s="83" t="s">
        <v>92</v>
      </c>
      <c r="K79" s="9" t="s">
        <v>86</v>
      </c>
      <c r="L79" s="9">
        <v>2023</v>
      </c>
      <c r="M79" s="15"/>
      <c r="N79" s="15">
        <v>2021</v>
      </c>
      <c r="O79" s="15">
        <v>2022</v>
      </c>
      <c r="P79" s="15">
        <v>2022</v>
      </c>
      <c r="Q79" s="15">
        <v>2021</v>
      </c>
      <c r="R79" s="15">
        <v>2024</v>
      </c>
      <c r="S79" s="14">
        <v>1834427</v>
      </c>
      <c r="T79" s="14">
        <v>-8.0000000074505806E-2</v>
      </c>
      <c r="U79" s="33"/>
      <c r="V79" s="34"/>
      <c r="W79" s="34"/>
      <c r="X79" s="34">
        <v>0</v>
      </c>
      <c r="Y79" s="34">
        <v>0</v>
      </c>
    </row>
    <row r="80" spans="1:25" ht="78" x14ac:dyDescent="0.3">
      <c r="B80" s="122"/>
      <c r="C80" s="123"/>
      <c r="D80" s="122"/>
      <c r="E80" s="9" t="s">
        <v>87</v>
      </c>
      <c r="F80" s="9">
        <v>1</v>
      </c>
      <c r="G80" s="14" t="s">
        <v>46</v>
      </c>
      <c r="H80" s="14">
        <f>6000000*13.88%</f>
        <v>832800</v>
      </c>
      <c r="I80" s="14">
        <f>6000000*13.88%</f>
        <v>832800</v>
      </c>
      <c r="J80" s="84"/>
      <c r="K80" s="9" t="s">
        <v>26</v>
      </c>
      <c r="L80" s="9"/>
      <c r="M80" s="15"/>
      <c r="N80" s="15"/>
      <c r="O80" s="15"/>
      <c r="P80" s="15"/>
      <c r="Q80" s="15"/>
      <c r="R80" s="15">
        <v>2024</v>
      </c>
      <c r="S80" s="14">
        <f>1300000*13.88%</f>
        <v>180440</v>
      </c>
      <c r="T80" s="14">
        <v>652360</v>
      </c>
      <c r="U80" s="33"/>
      <c r="V80" s="34"/>
      <c r="W80" s="34"/>
      <c r="X80" s="34">
        <v>0</v>
      </c>
      <c r="Y80" s="34">
        <v>0</v>
      </c>
    </row>
    <row r="81" spans="1:26" ht="62.4" x14ac:dyDescent="0.3">
      <c r="B81" s="83">
        <v>4</v>
      </c>
      <c r="C81" s="83" t="s">
        <v>93</v>
      </c>
      <c r="D81" s="83" t="s">
        <v>94</v>
      </c>
      <c r="E81" s="9" t="s">
        <v>95</v>
      </c>
      <c r="F81" s="9">
        <v>1</v>
      </c>
      <c r="G81" s="14" t="s">
        <v>46</v>
      </c>
      <c r="H81" s="14">
        <f>645000*4.92</f>
        <v>3173400</v>
      </c>
      <c r="I81" s="14">
        <f>645000*4.92</f>
        <v>3173400</v>
      </c>
      <c r="J81" s="83" t="s">
        <v>85</v>
      </c>
      <c r="K81" s="9" t="s">
        <v>86</v>
      </c>
      <c r="L81" s="9">
        <v>2023</v>
      </c>
      <c r="M81" s="15"/>
      <c r="N81" s="15">
        <v>2021</v>
      </c>
      <c r="O81" s="15">
        <v>2022</v>
      </c>
      <c r="P81" s="15">
        <v>2022</v>
      </c>
      <c r="Q81" s="15">
        <v>2021</v>
      </c>
      <c r="R81" s="15">
        <v>2024</v>
      </c>
      <c r="S81" s="14">
        <v>3173400</v>
      </c>
      <c r="T81" s="14">
        <v>0</v>
      </c>
      <c r="U81" s="33"/>
      <c r="V81" s="34"/>
      <c r="W81" s="34"/>
      <c r="X81" s="34">
        <v>0</v>
      </c>
      <c r="Y81" s="34">
        <v>0</v>
      </c>
    </row>
    <row r="82" spans="1:26" ht="78" x14ac:dyDescent="0.3">
      <c r="B82" s="83"/>
      <c r="C82" s="83"/>
      <c r="D82" s="83"/>
      <c r="E82" s="9" t="s">
        <v>87</v>
      </c>
      <c r="F82" s="9">
        <v>1</v>
      </c>
      <c r="G82" s="14" t="s">
        <v>46</v>
      </c>
      <c r="H82" s="14">
        <f>6000000*24.01%</f>
        <v>1440600</v>
      </c>
      <c r="I82" s="14">
        <f>6000000*24.01%</f>
        <v>1440600</v>
      </c>
      <c r="J82" s="83"/>
      <c r="K82" s="9" t="s">
        <v>26</v>
      </c>
      <c r="L82" s="9"/>
      <c r="M82" s="15"/>
      <c r="N82" s="15"/>
      <c r="O82" s="15"/>
      <c r="P82" s="15"/>
      <c r="Q82" s="15"/>
      <c r="R82" s="15">
        <v>2024</v>
      </c>
      <c r="S82" s="14">
        <f>1300000*24.01%</f>
        <v>312130</v>
      </c>
      <c r="T82" s="14">
        <v>1128470</v>
      </c>
      <c r="U82" s="33"/>
      <c r="V82" s="34"/>
      <c r="W82" s="34"/>
      <c r="X82" s="34">
        <v>0</v>
      </c>
      <c r="Y82" s="34">
        <v>0</v>
      </c>
    </row>
    <row r="83" spans="1:26" ht="31.5" customHeight="1" x14ac:dyDescent="0.3">
      <c r="B83" s="83">
        <v>5</v>
      </c>
      <c r="C83" s="83" t="s">
        <v>36</v>
      </c>
      <c r="D83" s="83" t="s">
        <v>36</v>
      </c>
      <c r="E83" s="9" t="s">
        <v>96</v>
      </c>
      <c r="F83" s="9">
        <v>1</v>
      </c>
      <c r="G83" s="14" t="s">
        <v>46</v>
      </c>
      <c r="H83" s="14">
        <f t="shared" ref="H83:H96" si="3">S83+T83+U83+V83+W83</f>
        <v>5119958.6399999997</v>
      </c>
      <c r="I83" s="14">
        <f t="shared" ref="I83:I96" si="4">S83+T83+U83+V83+W83+X83+Y83</f>
        <v>5119958.6399999997</v>
      </c>
      <c r="J83" s="120" t="s">
        <v>92</v>
      </c>
      <c r="K83" s="9" t="s">
        <v>86</v>
      </c>
      <c r="L83" s="9">
        <v>2023</v>
      </c>
      <c r="M83" s="9"/>
      <c r="N83" s="15">
        <v>2021</v>
      </c>
      <c r="O83" s="15">
        <v>2022</v>
      </c>
      <c r="P83" s="15">
        <v>2022</v>
      </c>
      <c r="Q83" s="15">
        <v>2021</v>
      </c>
      <c r="R83" s="15">
        <v>2024</v>
      </c>
      <c r="S83" s="33">
        <v>3071975</v>
      </c>
      <c r="T83" s="14">
        <v>2047983.64</v>
      </c>
      <c r="U83" s="33"/>
      <c r="V83" s="33"/>
      <c r="W83" s="34"/>
      <c r="X83" s="35">
        <v>0</v>
      </c>
      <c r="Y83" s="35">
        <v>0</v>
      </c>
      <c r="Z83" s="29"/>
    </row>
    <row r="84" spans="1:26" ht="78" x14ac:dyDescent="0.3">
      <c r="B84" s="83"/>
      <c r="C84" s="83"/>
      <c r="D84" s="83"/>
      <c r="E84" s="9" t="s">
        <v>87</v>
      </c>
      <c r="F84" s="9">
        <v>1</v>
      </c>
      <c r="G84" s="14" t="s">
        <v>46</v>
      </c>
      <c r="H84" s="14">
        <f t="shared" si="3"/>
        <v>2324400</v>
      </c>
      <c r="I84" s="14">
        <f t="shared" si="4"/>
        <v>2324400</v>
      </c>
      <c r="J84" s="120"/>
      <c r="K84" s="9" t="s">
        <v>26</v>
      </c>
      <c r="L84" s="9"/>
      <c r="M84" s="9"/>
      <c r="N84" s="15"/>
      <c r="O84" s="15"/>
      <c r="P84" s="15"/>
      <c r="Q84" s="15"/>
      <c r="R84" s="15">
        <v>2024</v>
      </c>
      <c r="S84" s="14">
        <f>1300000*38.74%</f>
        <v>503620</v>
      </c>
      <c r="T84" s="14">
        <v>1820780</v>
      </c>
      <c r="U84" s="33"/>
      <c r="V84" s="33"/>
      <c r="W84" s="34"/>
      <c r="X84" s="35">
        <v>0</v>
      </c>
      <c r="Y84" s="35">
        <v>0</v>
      </c>
      <c r="Z84" s="29"/>
    </row>
    <row r="85" spans="1:26" ht="31.2" x14ac:dyDescent="0.3">
      <c r="B85" s="83">
        <v>6</v>
      </c>
      <c r="C85" s="83" t="s">
        <v>32</v>
      </c>
      <c r="D85" s="83" t="s">
        <v>32</v>
      </c>
      <c r="E85" s="31" t="s">
        <v>97</v>
      </c>
      <c r="F85" s="31">
        <v>1</v>
      </c>
      <c r="G85" s="31" t="s">
        <v>46</v>
      </c>
      <c r="H85" s="11">
        <f t="shared" si="3"/>
        <v>37200</v>
      </c>
      <c r="I85" s="11">
        <f t="shared" si="4"/>
        <v>62000</v>
      </c>
      <c r="J85" s="31" t="s">
        <v>83</v>
      </c>
      <c r="K85" s="10" t="s">
        <v>24</v>
      </c>
      <c r="L85" s="31"/>
      <c r="M85" s="31"/>
      <c r="N85" s="31"/>
      <c r="O85" s="31"/>
      <c r="P85" s="31"/>
      <c r="Q85" s="31"/>
      <c r="R85" s="10">
        <v>2029</v>
      </c>
      <c r="S85" s="32"/>
      <c r="T85" s="32"/>
      <c r="U85" s="32">
        <f>2480*5</f>
        <v>12400</v>
      </c>
      <c r="V85" s="32">
        <f>2480*5</f>
        <v>12400</v>
      </c>
      <c r="W85" s="32">
        <f>2480*5</f>
        <v>12400</v>
      </c>
      <c r="X85" s="32">
        <f>2480*5</f>
        <v>12400</v>
      </c>
      <c r="Y85" s="32">
        <f>2480*5</f>
        <v>12400</v>
      </c>
      <c r="Z85" s="29"/>
    </row>
    <row r="86" spans="1:26" ht="31.2" x14ac:dyDescent="0.3">
      <c r="A86" s="29"/>
      <c r="B86" s="83"/>
      <c r="C86" s="83"/>
      <c r="D86" s="83"/>
      <c r="E86" s="10" t="s">
        <v>79</v>
      </c>
      <c r="F86" s="10">
        <v>13.741</v>
      </c>
      <c r="G86" s="10" t="s">
        <v>22</v>
      </c>
      <c r="H86" s="11">
        <f t="shared" si="3"/>
        <v>5498957.0999999996</v>
      </c>
      <c r="I86" s="11">
        <f t="shared" si="4"/>
        <v>9164928.5</v>
      </c>
      <c r="J86" s="10" t="s">
        <v>80</v>
      </c>
      <c r="K86" s="10" t="s">
        <v>24</v>
      </c>
      <c r="L86" s="10">
        <v>2029</v>
      </c>
      <c r="M86" s="10"/>
      <c r="N86" s="12"/>
      <c r="O86" s="12"/>
      <c r="P86" s="12"/>
      <c r="Q86" s="12"/>
      <c r="R86" s="10">
        <v>2029</v>
      </c>
      <c r="S86" s="30"/>
      <c r="T86" s="30"/>
      <c r="U86" s="30">
        <f>1832985.7</f>
        <v>1832985.7</v>
      </c>
      <c r="V86" s="30">
        <f>1832985.7</f>
        <v>1832985.7</v>
      </c>
      <c r="W86" s="30">
        <f>1832985.7</f>
        <v>1832985.7</v>
      </c>
      <c r="X86" s="30">
        <f>1832985.7</f>
        <v>1832985.7</v>
      </c>
      <c r="Y86" s="30">
        <f>1832985.7</f>
        <v>1832985.7</v>
      </c>
      <c r="Z86" s="29"/>
    </row>
    <row r="87" spans="1:26" ht="31.2" x14ac:dyDescent="0.3">
      <c r="B87" s="83">
        <v>7</v>
      </c>
      <c r="C87" s="83" t="s">
        <v>42</v>
      </c>
      <c r="D87" s="83" t="s">
        <v>42</v>
      </c>
      <c r="E87" s="31" t="s">
        <v>98</v>
      </c>
      <c r="F87" s="31">
        <v>1</v>
      </c>
      <c r="G87" s="31" t="s">
        <v>46</v>
      </c>
      <c r="H87" s="11">
        <f t="shared" si="3"/>
        <v>6140919</v>
      </c>
      <c r="I87" s="11">
        <f t="shared" si="4"/>
        <v>10234865</v>
      </c>
      <c r="J87" s="31" t="s">
        <v>83</v>
      </c>
      <c r="K87" s="10" t="s">
        <v>24</v>
      </c>
      <c r="L87" s="31"/>
      <c r="M87" s="31"/>
      <c r="N87" s="31"/>
      <c r="O87" s="31"/>
      <c r="P87" s="31"/>
      <c r="Q87" s="31"/>
      <c r="R87" s="10">
        <v>2029</v>
      </c>
      <c r="S87" s="32"/>
      <c r="T87" s="32"/>
      <c r="U87" s="32">
        <f>409394.6*5</f>
        <v>2046973</v>
      </c>
      <c r="V87" s="32">
        <f>409394.6*5</f>
        <v>2046973</v>
      </c>
      <c r="W87" s="32">
        <f>409394.6*5</f>
        <v>2046973</v>
      </c>
      <c r="X87" s="32">
        <f>409394.6*5</f>
        <v>2046973</v>
      </c>
      <c r="Y87" s="32">
        <f>409394.6*5</f>
        <v>2046973</v>
      </c>
      <c r="Z87" s="29"/>
    </row>
    <row r="88" spans="1:26" ht="46.8" x14ac:dyDescent="0.3">
      <c r="A88" s="29"/>
      <c r="B88" s="84"/>
      <c r="C88" s="84"/>
      <c r="D88" s="84"/>
      <c r="E88" s="10" t="s">
        <v>99</v>
      </c>
      <c r="F88" s="10">
        <v>27.829000000000001</v>
      </c>
      <c r="G88" s="10" t="s">
        <v>22</v>
      </c>
      <c r="H88" s="11">
        <f t="shared" si="3"/>
        <v>15635897.100000001</v>
      </c>
      <c r="I88" s="11">
        <f t="shared" si="4"/>
        <v>26059828.5</v>
      </c>
      <c r="J88" s="10" t="s">
        <v>80</v>
      </c>
      <c r="K88" s="10" t="s">
        <v>24</v>
      </c>
      <c r="L88" s="10">
        <v>2029</v>
      </c>
      <c r="M88" s="10"/>
      <c r="N88" s="12"/>
      <c r="O88" s="12"/>
      <c r="P88" s="12"/>
      <c r="Q88" s="12"/>
      <c r="R88" s="10">
        <v>2029</v>
      </c>
      <c r="S88" s="30"/>
      <c r="T88" s="30"/>
      <c r="U88" s="30">
        <f>1042393.14*5</f>
        <v>5211965.7</v>
      </c>
      <c r="V88" s="30">
        <f>1042393.14*5</f>
        <v>5211965.7</v>
      </c>
      <c r="W88" s="30">
        <f>1042393.14*5</f>
        <v>5211965.7</v>
      </c>
      <c r="X88" s="30">
        <f>1042393.14*5</f>
        <v>5211965.7</v>
      </c>
      <c r="Y88" s="30">
        <f>1042393.14*5</f>
        <v>5211965.7</v>
      </c>
      <c r="Z88" s="29"/>
    </row>
    <row r="89" spans="1:26" ht="46.8" x14ac:dyDescent="0.3">
      <c r="B89" s="83">
        <v>8</v>
      </c>
      <c r="C89" s="83" t="s">
        <v>39</v>
      </c>
      <c r="D89" s="83" t="s">
        <v>39</v>
      </c>
      <c r="E89" s="9" t="s">
        <v>100</v>
      </c>
      <c r="F89" s="9">
        <v>1</v>
      </c>
      <c r="G89" s="9" t="s">
        <v>46</v>
      </c>
      <c r="H89" s="14">
        <f t="shared" si="3"/>
        <v>2500000</v>
      </c>
      <c r="I89" s="14">
        <f t="shared" si="4"/>
        <v>2500000</v>
      </c>
      <c r="J89" s="14" t="s">
        <v>101</v>
      </c>
      <c r="K89" s="9" t="s">
        <v>26</v>
      </c>
      <c r="L89" s="15"/>
      <c r="M89" s="15"/>
      <c r="N89" s="15"/>
      <c r="O89" s="15"/>
      <c r="P89" s="15"/>
      <c r="Q89" s="15"/>
      <c r="R89" s="15">
        <v>2025</v>
      </c>
      <c r="S89" s="33"/>
      <c r="T89" s="33"/>
      <c r="U89" s="33">
        <v>250000</v>
      </c>
      <c r="V89" s="35">
        <v>750000</v>
      </c>
      <c r="W89" s="35">
        <v>1500000</v>
      </c>
      <c r="X89" s="35">
        <v>0</v>
      </c>
      <c r="Y89" s="35">
        <v>0</v>
      </c>
      <c r="Z89" s="29"/>
    </row>
    <row r="90" spans="1:26" ht="46.8" x14ac:dyDescent="0.3">
      <c r="B90" s="83"/>
      <c r="C90" s="83"/>
      <c r="D90" s="83"/>
      <c r="E90" s="31" t="s">
        <v>102</v>
      </c>
      <c r="F90" s="31">
        <v>1</v>
      </c>
      <c r="G90" s="31" t="s">
        <v>46</v>
      </c>
      <c r="H90" s="11">
        <f t="shared" si="3"/>
        <v>3648969</v>
      </c>
      <c r="I90" s="11">
        <f t="shared" si="4"/>
        <v>6081615</v>
      </c>
      <c r="J90" s="31" t="s">
        <v>83</v>
      </c>
      <c r="K90" s="10" t="s">
        <v>24</v>
      </c>
      <c r="L90" s="31"/>
      <c r="M90" s="31"/>
      <c r="N90" s="31"/>
      <c r="O90" s="31"/>
      <c r="P90" s="31"/>
      <c r="Q90" s="31"/>
      <c r="R90" s="10">
        <v>2029</v>
      </c>
      <c r="S90" s="32"/>
      <c r="T90" s="32"/>
      <c r="U90" s="32">
        <f>243264.6*5</f>
        <v>1216323</v>
      </c>
      <c r="V90" s="32">
        <f>243264.6*5</f>
        <v>1216323</v>
      </c>
      <c r="W90" s="32">
        <f>243264.6*5</f>
        <v>1216323</v>
      </c>
      <c r="X90" s="32">
        <f>243264.6*5</f>
        <v>1216323</v>
      </c>
      <c r="Y90" s="32">
        <f>243264.6*5</f>
        <v>1216323</v>
      </c>
      <c r="Z90" s="29"/>
    </row>
    <row r="91" spans="1:26" ht="46.8" x14ac:dyDescent="0.3">
      <c r="B91" s="9">
        <v>9</v>
      </c>
      <c r="C91" s="9" t="s">
        <v>103</v>
      </c>
      <c r="D91" s="9" t="s">
        <v>103</v>
      </c>
      <c r="E91" s="9" t="s">
        <v>100</v>
      </c>
      <c r="F91" s="9">
        <v>1</v>
      </c>
      <c r="G91" s="9" t="s">
        <v>46</v>
      </c>
      <c r="H91" s="14">
        <f t="shared" si="3"/>
        <v>2500000</v>
      </c>
      <c r="I91" s="14">
        <f t="shared" si="4"/>
        <v>2500000</v>
      </c>
      <c r="J91" s="14" t="s">
        <v>101</v>
      </c>
      <c r="K91" s="9" t="s">
        <v>26</v>
      </c>
      <c r="L91" s="15"/>
      <c r="M91" s="15"/>
      <c r="N91" s="15"/>
      <c r="O91" s="15"/>
      <c r="P91" s="15"/>
      <c r="Q91" s="15"/>
      <c r="R91" s="15">
        <v>2027</v>
      </c>
      <c r="S91" s="33"/>
      <c r="T91" s="33"/>
      <c r="U91" s="33">
        <v>250000</v>
      </c>
      <c r="V91" s="35">
        <v>750000</v>
      </c>
      <c r="W91" s="35">
        <v>1500000</v>
      </c>
      <c r="X91" s="35">
        <v>0</v>
      </c>
      <c r="Y91" s="35">
        <v>0</v>
      </c>
      <c r="Z91" s="29"/>
    </row>
    <row r="92" spans="1:26" ht="46.8" x14ac:dyDescent="0.3">
      <c r="A92" s="29"/>
      <c r="B92" s="9">
        <v>10</v>
      </c>
      <c r="C92" s="9" t="s">
        <v>53</v>
      </c>
      <c r="D92" s="9" t="s">
        <v>53</v>
      </c>
      <c r="E92" s="10" t="s">
        <v>99</v>
      </c>
      <c r="F92" s="10">
        <v>27.713000000000001</v>
      </c>
      <c r="G92" s="10" t="s">
        <v>22</v>
      </c>
      <c r="H92" s="11">
        <f t="shared" si="3"/>
        <v>10788286.5</v>
      </c>
      <c r="I92" s="11">
        <f t="shared" si="4"/>
        <v>17980477.5</v>
      </c>
      <c r="J92" s="10" t="s">
        <v>80</v>
      </c>
      <c r="K92" s="10" t="s">
        <v>24</v>
      </c>
      <c r="L92" s="10">
        <v>2029</v>
      </c>
      <c r="M92" s="10"/>
      <c r="N92" s="12"/>
      <c r="O92" s="12"/>
      <c r="P92" s="12"/>
      <c r="Q92" s="12"/>
      <c r="R92" s="10">
        <v>2029</v>
      </c>
      <c r="S92" s="30"/>
      <c r="T92" s="30"/>
      <c r="U92" s="30">
        <f>719219.1*5</f>
        <v>3596095.5</v>
      </c>
      <c r="V92" s="30">
        <f>719219.1*5</f>
        <v>3596095.5</v>
      </c>
      <c r="W92" s="30">
        <f>719219.1*5</f>
        <v>3596095.5</v>
      </c>
      <c r="X92" s="30">
        <f>719219.1*5</f>
        <v>3596095.5</v>
      </c>
      <c r="Y92" s="30">
        <f>719219.1*5</f>
        <v>3596095.5</v>
      </c>
      <c r="Z92" s="29"/>
    </row>
    <row r="93" spans="1:26" ht="46.8" x14ac:dyDescent="0.3">
      <c r="A93" s="29"/>
      <c r="B93" s="9">
        <v>11</v>
      </c>
      <c r="C93" s="9" t="s">
        <v>104</v>
      </c>
      <c r="D93" s="9" t="s">
        <v>104</v>
      </c>
      <c r="E93" s="10" t="s">
        <v>99</v>
      </c>
      <c r="F93" s="10">
        <v>33.816000000000003</v>
      </c>
      <c r="G93" s="10" t="s">
        <v>22</v>
      </c>
      <c r="H93" s="11">
        <f t="shared" si="3"/>
        <v>9648347.4000000004</v>
      </c>
      <c r="I93" s="11">
        <f t="shared" si="4"/>
        <v>16080579.000000002</v>
      </c>
      <c r="J93" s="10" t="s">
        <v>80</v>
      </c>
      <c r="K93" s="10" t="s">
        <v>24</v>
      </c>
      <c r="L93" s="10">
        <v>2029</v>
      </c>
      <c r="M93" s="10"/>
      <c r="N93" s="12"/>
      <c r="O93" s="12"/>
      <c r="P93" s="12"/>
      <c r="Q93" s="12"/>
      <c r="R93" s="10">
        <v>2029</v>
      </c>
      <c r="S93" s="30"/>
      <c r="T93" s="30"/>
      <c r="U93" s="30">
        <f>643223.16*5</f>
        <v>3216115.8000000003</v>
      </c>
      <c r="V93" s="30">
        <f>643223.16*5</f>
        <v>3216115.8000000003</v>
      </c>
      <c r="W93" s="30">
        <f>643223.16*5</f>
        <v>3216115.8000000003</v>
      </c>
      <c r="X93" s="30">
        <f>643223.16*5</f>
        <v>3216115.8000000003</v>
      </c>
      <c r="Y93" s="30">
        <f>643223.16*5</f>
        <v>3216115.8000000003</v>
      </c>
      <c r="Z93" s="29"/>
    </row>
    <row r="94" spans="1:26" ht="46.8" x14ac:dyDescent="0.3">
      <c r="A94" s="29"/>
      <c r="B94" s="9">
        <v>12</v>
      </c>
      <c r="C94" s="9" t="s">
        <v>40</v>
      </c>
      <c r="D94" s="9" t="s">
        <v>40</v>
      </c>
      <c r="E94" s="10" t="s">
        <v>99</v>
      </c>
      <c r="F94" s="10">
        <f>34.569+15.35+16.946</f>
        <v>66.865000000000009</v>
      </c>
      <c r="G94" s="10" t="s">
        <v>22</v>
      </c>
      <c r="H94" s="11">
        <f t="shared" si="3"/>
        <v>23620287.600000001</v>
      </c>
      <c r="I94" s="11">
        <f t="shared" si="4"/>
        <v>39367146</v>
      </c>
      <c r="J94" s="10" t="s">
        <v>80</v>
      </c>
      <c r="K94" s="10" t="s">
        <v>24</v>
      </c>
      <c r="L94" s="10">
        <v>2029</v>
      </c>
      <c r="M94" s="10"/>
      <c r="N94" s="12"/>
      <c r="O94" s="12"/>
      <c r="P94" s="12"/>
      <c r="Q94" s="12"/>
      <c r="R94" s="12">
        <v>2029</v>
      </c>
      <c r="S94" s="30"/>
      <c r="T94" s="30"/>
      <c r="U94" s="30">
        <f>1574685.84*5</f>
        <v>7873429.2000000002</v>
      </c>
      <c r="V94" s="30">
        <f>1574685.84*5</f>
        <v>7873429.2000000002</v>
      </c>
      <c r="W94" s="30">
        <f>1574685.84*5</f>
        <v>7873429.2000000002</v>
      </c>
      <c r="X94" s="30">
        <f>1574685.84*5</f>
        <v>7873429.2000000002</v>
      </c>
      <c r="Y94" s="30">
        <f>1574685.84*5</f>
        <v>7873429.2000000002</v>
      </c>
      <c r="Z94" s="29"/>
    </row>
    <row r="95" spans="1:26" ht="46.8" x14ac:dyDescent="0.3">
      <c r="A95" s="29"/>
      <c r="B95" s="9">
        <v>13</v>
      </c>
      <c r="C95" s="9" t="s">
        <v>105</v>
      </c>
      <c r="D95" s="9" t="s">
        <v>105</v>
      </c>
      <c r="E95" s="10" t="s">
        <v>99</v>
      </c>
      <c r="F95" s="10">
        <v>48.430999999999997</v>
      </c>
      <c r="G95" s="10" t="s">
        <v>22</v>
      </c>
      <c r="H95" s="11">
        <f t="shared" si="3"/>
        <v>14764642.799999999</v>
      </c>
      <c r="I95" s="11">
        <f t="shared" si="4"/>
        <v>24607738</v>
      </c>
      <c r="J95" s="10" t="s">
        <v>80</v>
      </c>
      <c r="K95" s="10" t="s">
        <v>24</v>
      </c>
      <c r="L95" s="10">
        <v>2029</v>
      </c>
      <c r="M95" s="10"/>
      <c r="N95" s="12"/>
      <c r="O95" s="12"/>
      <c r="P95" s="12"/>
      <c r="Q95" s="12"/>
      <c r="R95" s="10">
        <v>2029</v>
      </c>
      <c r="S95" s="30"/>
      <c r="T95" s="30"/>
      <c r="U95" s="30">
        <f>984309.52*5</f>
        <v>4921547.5999999996</v>
      </c>
      <c r="V95" s="30">
        <f>984309.52*5</f>
        <v>4921547.5999999996</v>
      </c>
      <c r="W95" s="30">
        <f>984309.52*5</f>
        <v>4921547.5999999996</v>
      </c>
      <c r="X95" s="30">
        <f>984309.52*5</f>
        <v>4921547.5999999996</v>
      </c>
      <c r="Y95" s="30">
        <f>984309.52*5</f>
        <v>4921547.5999999996</v>
      </c>
      <c r="Z95" s="29"/>
    </row>
    <row r="96" spans="1:26" ht="31.2" x14ac:dyDescent="0.3">
      <c r="B96" s="9">
        <v>14</v>
      </c>
      <c r="C96" s="9" t="s">
        <v>56</v>
      </c>
      <c r="D96" s="9" t="s">
        <v>56</v>
      </c>
      <c r="E96" s="9" t="s">
        <v>106</v>
      </c>
      <c r="F96" s="9">
        <v>1</v>
      </c>
      <c r="G96" s="9" t="s">
        <v>46</v>
      </c>
      <c r="H96" s="14">
        <f t="shared" si="3"/>
        <v>5000000</v>
      </c>
      <c r="I96" s="14">
        <f t="shared" si="4"/>
        <v>5000000</v>
      </c>
      <c r="J96" s="14" t="s">
        <v>101</v>
      </c>
      <c r="K96" s="9" t="s">
        <v>26</v>
      </c>
      <c r="L96" s="15"/>
      <c r="M96" s="15"/>
      <c r="N96" s="15"/>
      <c r="O96" s="15"/>
      <c r="P96" s="15"/>
      <c r="Q96" s="15"/>
      <c r="R96" s="15">
        <v>2027</v>
      </c>
      <c r="S96" s="33"/>
      <c r="T96" s="33"/>
      <c r="U96" s="33"/>
      <c r="V96" s="35">
        <v>2500000</v>
      </c>
      <c r="W96" s="35">
        <v>2500000</v>
      </c>
      <c r="X96" s="35">
        <v>0</v>
      </c>
      <c r="Y96" s="35">
        <v>0</v>
      </c>
      <c r="Z96" s="29"/>
    </row>
    <row r="97" spans="2:25" ht="16.5" customHeight="1" x14ac:dyDescent="0.3">
      <c r="B97" s="117" t="s">
        <v>107</v>
      </c>
      <c r="C97" s="117"/>
      <c r="D97" s="117"/>
      <c r="E97" s="117"/>
      <c r="F97" s="117"/>
      <c r="G97" s="117"/>
      <c r="H97" s="36">
        <f>SUM(H73:H96)</f>
        <v>227541858.52000001</v>
      </c>
      <c r="I97" s="36">
        <f>SUM(I73:I96)</f>
        <v>359759287.31999993</v>
      </c>
      <c r="J97" s="28"/>
      <c r="K97" s="28"/>
      <c r="L97" s="28"/>
      <c r="M97" s="6"/>
      <c r="N97" s="6"/>
      <c r="O97" s="6"/>
      <c r="P97" s="6"/>
      <c r="Q97" s="6"/>
      <c r="R97" s="6"/>
      <c r="S97" s="34">
        <f t="shared" ref="S97:Y97" si="5">SUM(S73:S96)</f>
        <v>12467732</v>
      </c>
      <c r="T97" s="34">
        <f t="shared" si="5"/>
        <v>6747983.3199999994</v>
      </c>
      <c r="U97" s="34">
        <f t="shared" si="5"/>
        <v>66608714.400000006</v>
      </c>
      <c r="V97" s="34">
        <f t="shared" si="5"/>
        <v>70108714.400000006</v>
      </c>
      <c r="W97" s="34">
        <f t="shared" si="5"/>
        <v>71608714.400000006</v>
      </c>
      <c r="X97" s="34">
        <f t="shared" si="5"/>
        <v>66108714.400000006</v>
      </c>
      <c r="Y97" s="34">
        <f t="shared" si="5"/>
        <v>66108714.400000006</v>
      </c>
    </row>
    <row r="98" spans="2:25" ht="15.6" x14ac:dyDescent="0.3">
      <c r="C98" s="118" t="s">
        <v>108</v>
      </c>
      <c r="D98" s="118"/>
      <c r="E98" s="118"/>
      <c r="F98" s="118"/>
      <c r="G98" s="118"/>
      <c r="H98" s="118"/>
      <c r="I98" s="118"/>
      <c r="J98" s="118"/>
      <c r="K98" s="118"/>
    </row>
    <row r="99" spans="2:25" x14ac:dyDescent="0.3">
      <c r="R99" t="s">
        <v>109</v>
      </c>
      <c r="S99" s="27">
        <f>S96+S91+S89+S84+S82+S80+S77</f>
        <v>1300000</v>
      </c>
      <c r="T99" s="27">
        <f>T96+T91+T89+T84+T82+T80+T77</f>
        <v>4700000</v>
      </c>
      <c r="U99" s="27">
        <f>U96+U91+U89+U84+U82+U80+U77</f>
        <v>500000</v>
      </c>
      <c r="V99" s="27">
        <f>V96+V91+V89+V84+V82+V80+V77</f>
        <v>4000000</v>
      </c>
      <c r="W99" s="27">
        <f>W96+W91+W89+W84+W82+W80+W77</f>
        <v>5500000</v>
      </c>
    </row>
    <row r="100" spans="2:25" ht="15.6" x14ac:dyDescent="0.3">
      <c r="B100" s="119" t="s">
        <v>110</v>
      </c>
      <c r="C100" s="119"/>
      <c r="D100" s="119"/>
      <c r="E100" s="119"/>
      <c r="F100" s="119"/>
      <c r="G100" s="119"/>
      <c r="H100" s="119"/>
      <c r="I100" s="119"/>
      <c r="J100" s="119"/>
      <c r="K100" s="119"/>
      <c r="R100" t="s">
        <v>86</v>
      </c>
      <c r="S100" s="27">
        <f>S83+S81+S79+S76</f>
        <v>11167732</v>
      </c>
      <c r="T100" s="27">
        <f>T83+T81+T79+T76</f>
        <v>2047983.3199999996</v>
      </c>
      <c r="U100" s="27">
        <f>U83+U81+U79+U76</f>
        <v>0</v>
      </c>
      <c r="V100" s="27">
        <f>V83+V81+V79+V76</f>
        <v>0</v>
      </c>
      <c r="W100" s="27">
        <f>W83+W81+W79+W76</f>
        <v>0</v>
      </c>
    </row>
    <row r="101" spans="2:25" ht="15.6" x14ac:dyDescent="0.3">
      <c r="B101" s="37"/>
      <c r="C101" s="37"/>
      <c r="D101" s="37"/>
      <c r="E101" s="37"/>
      <c r="F101" s="37"/>
      <c r="G101" s="37"/>
      <c r="H101" s="37"/>
      <c r="I101" s="37"/>
      <c r="J101" s="37"/>
      <c r="K101" s="37"/>
      <c r="R101" t="s">
        <v>24</v>
      </c>
      <c r="S101">
        <f>S90+S87+S85+S78+S74+S73+S94+S95+S86+S93+S92+S75+S88</f>
        <v>0</v>
      </c>
      <c r="T101">
        <f>T90+T87+T85+T78+T74+T73+T94+T95+T86+T93+T92+T75+T88</f>
        <v>0</v>
      </c>
      <c r="U101">
        <f>U90+U87+U85+U78+U74+U73+U94+U95+U86+U93+U92+U75+U88</f>
        <v>66108714.400000006</v>
      </c>
      <c r="V101">
        <f>V90+V87+V85+V78+V74+V73+V94+V95+V86+V93+V92+V75+V88</f>
        <v>66108714.400000006</v>
      </c>
      <c r="W101">
        <f>W90+W87+W85+W78+W74+W73+W94+W95+W86+W93+W92+W75+W88</f>
        <v>66108714.400000006</v>
      </c>
    </row>
    <row r="102" spans="2:25" ht="15.6" x14ac:dyDescent="0.3">
      <c r="B102" s="79" t="s">
        <v>1</v>
      </c>
      <c r="C102" s="80" t="s">
        <v>2</v>
      </c>
      <c r="D102" s="80"/>
      <c r="E102" s="80"/>
      <c r="F102" s="80"/>
      <c r="G102" s="80"/>
      <c r="H102" s="80"/>
      <c r="I102" s="80"/>
      <c r="J102" s="80"/>
      <c r="K102" s="80"/>
      <c r="L102" s="81" t="s">
        <v>3</v>
      </c>
      <c r="M102" s="81"/>
      <c r="N102" s="81"/>
      <c r="O102" s="81"/>
      <c r="P102" s="81"/>
      <c r="Q102" s="6"/>
      <c r="R102" s="82" t="s">
        <v>4</v>
      </c>
      <c r="S102" s="82"/>
      <c r="T102" s="82"/>
      <c r="U102" s="82"/>
      <c r="V102" s="82"/>
      <c r="W102" s="6"/>
      <c r="X102" s="6"/>
    </row>
    <row r="103" spans="2:25" ht="62.4" x14ac:dyDescent="0.3">
      <c r="B103" s="79"/>
      <c r="C103" s="3" t="s">
        <v>5</v>
      </c>
      <c r="D103" s="28" t="s">
        <v>6</v>
      </c>
      <c r="E103" s="28" t="s">
        <v>9</v>
      </c>
      <c r="F103" s="116" t="s">
        <v>77</v>
      </c>
      <c r="G103" s="116"/>
      <c r="H103" s="116" t="s">
        <v>111</v>
      </c>
      <c r="I103" s="116"/>
      <c r="J103" s="28" t="s">
        <v>13</v>
      </c>
      <c r="K103" s="116" t="s">
        <v>14</v>
      </c>
      <c r="L103" s="116"/>
      <c r="M103" s="28" t="s">
        <v>15</v>
      </c>
      <c r="N103" s="28" t="s">
        <v>16</v>
      </c>
      <c r="O103" s="28" t="s">
        <v>17</v>
      </c>
      <c r="P103" s="28" t="s">
        <v>18</v>
      </c>
      <c r="Q103" s="28" t="s">
        <v>19</v>
      </c>
      <c r="R103" s="7">
        <v>2023</v>
      </c>
      <c r="S103" s="7">
        <v>2024</v>
      </c>
      <c r="T103" s="7">
        <v>2025</v>
      </c>
      <c r="U103" s="7">
        <v>2026</v>
      </c>
      <c r="V103" s="7">
        <v>2027</v>
      </c>
      <c r="W103" s="7">
        <v>2028</v>
      </c>
      <c r="X103" s="7">
        <v>2029</v>
      </c>
    </row>
    <row r="104" spans="2:25" ht="60" customHeight="1" x14ac:dyDescent="0.3">
      <c r="B104" s="83">
        <v>1</v>
      </c>
      <c r="C104" s="83" t="s">
        <v>20</v>
      </c>
      <c r="D104" s="9" t="s">
        <v>112</v>
      </c>
      <c r="E104" s="14">
        <f>R104+S104+T104+U104+V104</f>
        <v>3154000</v>
      </c>
      <c r="F104" s="93">
        <f>R104+S104+T104+U104+V104</f>
        <v>3154000</v>
      </c>
      <c r="G104" s="93"/>
      <c r="H104" s="83" t="s">
        <v>113</v>
      </c>
      <c r="I104" s="83"/>
      <c r="J104" s="9">
        <v>2026</v>
      </c>
      <c r="K104" s="83" t="s">
        <v>26</v>
      </c>
      <c r="L104" s="83"/>
      <c r="M104" s="15">
        <v>2025</v>
      </c>
      <c r="N104" s="15">
        <v>2025</v>
      </c>
      <c r="O104" s="15" t="s">
        <v>52</v>
      </c>
      <c r="P104" s="15">
        <v>2025</v>
      </c>
      <c r="Q104" s="15">
        <v>2025</v>
      </c>
      <c r="R104" s="17">
        <f>134000+20000+10000+60000</f>
        <v>224000</v>
      </c>
      <c r="S104" s="17">
        <v>500000</v>
      </c>
      <c r="T104" s="17">
        <v>1880000</v>
      </c>
      <c r="U104" s="17">
        <v>550000</v>
      </c>
      <c r="V104" s="17">
        <v>0</v>
      </c>
      <c r="W104" s="17">
        <v>0</v>
      </c>
      <c r="X104" s="17">
        <v>0</v>
      </c>
    </row>
    <row r="105" spans="2:25" ht="60" customHeight="1" x14ac:dyDescent="0.3">
      <c r="B105" s="84"/>
      <c r="C105" s="83"/>
      <c r="D105" s="10" t="s">
        <v>114</v>
      </c>
      <c r="E105" s="11">
        <f>R105+S105+T105+U105+V105</f>
        <v>2643750</v>
      </c>
      <c r="F105" s="88">
        <f>R105+S105+T105+U105+V105+W105+X105</f>
        <v>4406250</v>
      </c>
      <c r="G105" s="88"/>
      <c r="H105" s="89" t="s">
        <v>115</v>
      </c>
      <c r="I105" s="89"/>
      <c r="J105" s="10">
        <v>2029</v>
      </c>
      <c r="K105" s="89" t="s">
        <v>24</v>
      </c>
      <c r="L105" s="89"/>
      <c r="M105" s="12"/>
      <c r="N105" s="12"/>
      <c r="O105" s="12"/>
      <c r="P105" s="12"/>
      <c r="Q105" s="12"/>
      <c r="R105" s="13">
        <v>0</v>
      </c>
      <c r="S105" s="13">
        <v>0</v>
      </c>
      <c r="T105" s="13">
        <f>176250*5</f>
        <v>881250</v>
      </c>
      <c r="U105" s="13">
        <f>176250*5</f>
        <v>881250</v>
      </c>
      <c r="V105" s="13">
        <f>176250*5</f>
        <v>881250</v>
      </c>
      <c r="W105" s="13">
        <f>176250*5</f>
        <v>881250</v>
      </c>
      <c r="X105" s="13">
        <f>176250*5</f>
        <v>881250</v>
      </c>
    </row>
    <row r="106" spans="2:25" ht="60" customHeight="1" x14ac:dyDescent="0.3">
      <c r="B106" s="84"/>
      <c r="C106" s="83"/>
      <c r="D106" s="94" t="s">
        <v>114</v>
      </c>
      <c r="E106" s="96">
        <v>9302428</v>
      </c>
      <c r="F106" s="106">
        <v>9302428</v>
      </c>
      <c r="G106" s="107"/>
      <c r="H106" s="102" t="s">
        <v>115</v>
      </c>
      <c r="I106" s="103"/>
      <c r="J106" s="94">
        <v>2024</v>
      </c>
      <c r="K106" s="86" t="s">
        <v>116</v>
      </c>
      <c r="L106" s="87"/>
      <c r="M106" s="12"/>
      <c r="N106" s="12"/>
      <c r="O106" s="12"/>
      <c r="P106" s="12"/>
      <c r="Q106" s="12"/>
      <c r="R106" s="13">
        <v>5270000</v>
      </c>
      <c r="S106" s="13">
        <v>2637063.7999999998</v>
      </c>
      <c r="T106" s="13"/>
      <c r="U106" s="13"/>
      <c r="V106" s="13"/>
      <c r="W106" s="13"/>
      <c r="X106" s="13"/>
    </row>
    <row r="107" spans="2:25" ht="60" customHeight="1" x14ac:dyDescent="0.3">
      <c r="B107" s="84"/>
      <c r="C107" s="83"/>
      <c r="D107" s="114"/>
      <c r="E107" s="115"/>
      <c r="F107" s="108"/>
      <c r="G107" s="109"/>
      <c r="H107" s="112"/>
      <c r="I107" s="113"/>
      <c r="J107" s="114"/>
      <c r="K107" s="86" t="s">
        <v>117</v>
      </c>
      <c r="L107" s="87"/>
      <c r="M107" s="12"/>
      <c r="N107" s="12"/>
      <c r="O107" s="12"/>
      <c r="P107" s="12"/>
      <c r="Q107" s="12"/>
      <c r="R107" s="13">
        <v>806000</v>
      </c>
      <c r="S107" s="13">
        <v>403315.64</v>
      </c>
      <c r="T107" s="13"/>
      <c r="U107" s="13"/>
      <c r="V107" s="13"/>
      <c r="W107" s="13"/>
      <c r="X107" s="13"/>
    </row>
    <row r="108" spans="2:25" ht="60" customHeight="1" x14ac:dyDescent="0.3">
      <c r="B108" s="84"/>
      <c r="C108" s="83"/>
      <c r="D108" s="95"/>
      <c r="E108" s="97"/>
      <c r="F108" s="110"/>
      <c r="G108" s="111"/>
      <c r="H108" s="104"/>
      <c r="I108" s="105"/>
      <c r="J108" s="95"/>
      <c r="K108" s="86" t="s">
        <v>118</v>
      </c>
      <c r="L108" s="87"/>
      <c r="M108" s="12"/>
      <c r="N108" s="12"/>
      <c r="O108" s="12"/>
      <c r="P108" s="12"/>
      <c r="Q108" s="12"/>
      <c r="R108" s="13">
        <v>124000</v>
      </c>
      <c r="S108" s="13">
        <v>62048.56</v>
      </c>
      <c r="T108" s="13"/>
      <c r="U108" s="13"/>
      <c r="V108" s="13"/>
      <c r="W108" s="13"/>
      <c r="X108" s="13"/>
    </row>
    <row r="109" spans="2:25" ht="65.25" customHeight="1" x14ac:dyDescent="0.3">
      <c r="B109" s="84"/>
      <c r="C109" s="83"/>
      <c r="D109" s="3" t="s">
        <v>114</v>
      </c>
      <c r="E109" s="14">
        <f>R109+S109+T109+U109+V109</f>
        <v>4115000</v>
      </c>
      <c r="F109" s="93">
        <f>R109+S109+T109+U109+V109</f>
        <v>4115000</v>
      </c>
      <c r="G109" s="93"/>
      <c r="H109" s="83" t="s">
        <v>115</v>
      </c>
      <c r="I109" s="83"/>
      <c r="J109" s="9">
        <v>2027</v>
      </c>
      <c r="K109" s="83" t="s">
        <v>26</v>
      </c>
      <c r="L109" s="83"/>
      <c r="M109" s="15"/>
      <c r="N109" s="15"/>
      <c r="O109" s="15"/>
      <c r="P109" s="15"/>
      <c r="Q109" s="15"/>
      <c r="R109" s="17">
        <v>15000</v>
      </c>
      <c r="S109" s="17">
        <f>500000</f>
        <v>500000</v>
      </c>
      <c r="T109" s="17">
        <f>1500000+500000</f>
        <v>2000000</v>
      </c>
      <c r="U109" s="17">
        <f>600000+500000</f>
        <v>1100000</v>
      </c>
      <c r="V109" s="17">
        <v>500000</v>
      </c>
      <c r="W109" s="17">
        <v>500000</v>
      </c>
      <c r="X109" s="17">
        <v>500000</v>
      </c>
    </row>
    <row r="110" spans="2:25" ht="65.25" customHeight="1" x14ac:dyDescent="0.3">
      <c r="B110" s="84"/>
      <c r="C110" s="84"/>
      <c r="D110" s="10" t="s">
        <v>119</v>
      </c>
      <c r="E110" s="11">
        <f>R110+S110+T110+U110+V110</f>
        <v>2045550</v>
      </c>
      <c r="F110" s="88">
        <f t="shared" ref="F110:F116" si="6">R110+S110+T110+U110+V110+W110+X110</f>
        <v>3409250</v>
      </c>
      <c r="G110" s="88"/>
      <c r="H110" s="89" t="s">
        <v>120</v>
      </c>
      <c r="I110" s="89"/>
      <c r="J110" s="10">
        <v>2029</v>
      </c>
      <c r="K110" s="89" t="s">
        <v>24</v>
      </c>
      <c r="L110" s="89"/>
      <c r="M110" s="12"/>
      <c r="N110" s="12"/>
      <c r="O110" s="12"/>
      <c r="P110" s="12"/>
      <c r="Q110" s="12"/>
      <c r="R110" s="13"/>
      <c r="S110" s="13"/>
      <c r="T110" s="13">
        <f>136370*5</f>
        <v>681850</v>
      </c>
      <c r="U110" s="13">
        <f>136370*5</f>
        <v>681850</v>
      </c>
      <c r="V110" s="13">
        <f>136370*5</f>
        <v>681850</v>
      </c>
      <c r="W110" s="13">
        <f>136370*5</f>
        <v>681850</v>
      </c>
      <c r="X110" s="13">
        <f>136370*5</f>
        <v>681850</v>
      </c>
    </row>
    <row r="111" spans="2:25" ht="65.25" customHeight="1" x14ac:dyDescent="0.3">
      <c r="B111" s="9">
        <v>2</v>
      </c>
      <c r="C111" s="9" t="s">
        <v>121</v>
      </c>
      <c r="D111" s="10" t="s">
        <v>122</v>
      </c>
      <c r="E111" s="11">
        <f t="shared" ref="E111:E116" si="7">R111+S111+T111+U111+V111</f>
        <v>3110570.4</v>
      </c>
      <c r="F111" s="88">
        <f t="shared" si="6"/>
        <v>5184284</v>
      </c>
      <c r="G111" s="88"/>
      <c r="H111" s="89" t="s">
        <v>123</v>
      </c>
      <c r="I111" s="89"/>
      <c r="J111" s="10">
        <v>2029</v>
      </c>
      <c r="K111" s="89" t="s">
        <v>24</v>
      </c>
      <c r="L111" s="89"/>
      <c r="M111" s="12"/>
      <c r="N111" s="12"/>
      <c r="O111" s="12"/>
      <c r="P111" s="12"/>
      <c r="Q111" s="12"/>
      <c r="R111" s="13"/>
      <c r="S111" s="13"/>
      <c r="T111" s="13">
        <f>(1400+205971.36)*5</f>
        <v>1036856.7999999999</v>
      </c>
      <c r="U111" s="13">
        <f>(1400+205971.36)*5</f>
        <v>1036856.7999999999</v>
      </c>
      <c r="V111" s="13">
        <f>(1400+205971.36)*5</f>
        <v>1036856.7999999999</v>
      </c>
      <c r="W111" s="13">
        <f>(1400+205971.36)*5</f>
        <v>1036856.7999999999</v>
      </c>
      <c r="X111" s="13">
        <f>(1400+205971.36)*5</f>
        <v>1036856.7999999999</v>
      </c>
    </row>
    <row r="112" spans="2:25" ht="65.25" customHeight="1" x14ac:dyDescent="0.3">
      <c r="B112" s="9">
        <v>3</v>
      </c>
      <c r="C112" s="9" t="s">
        <v>124</v>
      </c>
      <c r="D112" s="10" t="s">
        <v>122</v>
      </c>
      <c r="E112" s="11">
        <f t="shared" si="7"/>
        <v>1473900</v>
      </c>
      <c r="F112" s="88">
        <f t="shared" si="6"/>
        <v>2456500</v>
      </c>
      <c r="G112" s="88"/>
      <c r="H112" s="89" t="s">
        <v>123</v>
      </c>
      <c r="I112" s="89"/>
      <c r="J112" s="10">
        <v>2029</v>
      </c>
      <c r="K112" s="89" t="s">
        <v>24</v>
      </c>
      <c r="L112" s="89"/>
      <c r="M112" s="12"/>
      <c r="N112" s="12"/>
      <c r="O112" s="12"/>
      <c r="P112" s="12"/>
      <c r="Q112" s="12"/>
      <c r="R112" s="13"/>
      <c r="S112" s="13"/>
      <c r="T112" s="13">
        <f>98260*5</f>
        <v>491300</v>
      </c>
      <c r="U112" s="13">
        <f>98260*5</f>
        <v>491300</v>
      </c>
      <c r="V112" s="13">
        <f>98260*5</f>
        <v>491300</v>
      </c>
      <c r="W112" s="13">
        <f>98260*5</f>
        <v>491300</v>
      </c>
      <c r="X112" s="13">
        <f>98260*5</f>
        <v>491300</v>
      </c>
    </row>
    <row r="113" spans="2:24" ht="65.25" customHeight="1" x14ac:dyDescent="0.3">
      <c r="B113" s="9">
        <v>4</v>
      </c>
      <c r="C113" s="9" t="s">
        <v>32</v>
      </c>
      <c r="D113" s="10" t="s">
        <v>119</v>
      </c>
      <c r="E113" s="11">
        <f t="shared" si="7"/>
        <v>2218800</v>
      </c>
      <c r="F113" s="88">
        <f t="shared" si="6"/>
        <v>3698000</v>
      </c>
      <c r="G113" s="88"/>
      <c r="H113" s="89" t="s">
        <v>120</v>
      </c>
      <c r="I113" s="89"/>
      <c r="J113" s="10">
        <v>2029</v>
      </c>
      <c r="K113" s="89" t="s">
        <v>24</v>
      </c>
      <c r="L113" s="89"/>
      <c r="M113" s="12"/>
      <c r="N113" s="12"/>
      <c r="O113" s="12"/>
      <c r="P113" s="12"/>
      <c r="Q113" s="12"/>
      <c r="R113" s="13"/>
      <c r="S113" s="13"/>
      <c r="T113" s="13">
        <f>147920*5</f>
        <v>739600</v>
      </c>
      <c r="U113" s="13">
        <f>147920*5</f>
        <v>739600</v>
      </c>
      <c r="V113" s="13">
        <f>147920*5</f>
        <v>739600</v>
      </c>
      <c r="W113" s="13">
        <f>147920*5</f>
        <v>739600</v>
      </c>
      <c r="X113" s="13">
        <f>147920*5</f>
        <v>739600</v>
      </c>
    </row>
    <row r="114" spans="2:24" ht="65.25" customHeight="1" x14ac:dyDescent="0.3">
      <c r="B114" s="9">
        <v>5</v>
      </c>
      <c r="C114" s="9" t="s">
        <v>53</v>
      </c>
      <c r="D114" s="10" t="s">
        <v>122</v>
      </c>
      <c r="E114" s="11">
        <f t="shared" si="7"/>
        <v>1030200</v>
      </c>
      <c r="F114" s="88">
        <f t="shared" si="6"/>
        <v>1717000</v>
      </c>
      <c r="G114" s="88"/>
      <c r="H114" s="89" t="s">
        <v>123</v>
      </c>
      <c r="I114" s="89"/>
      <c r="J114" s="10">
        <v>2029</v>
      </c>
      <c r="K114" s="89" t="s">
        <v>24</v>
      </c>
      <c r="L114" s="89"/>
      <c r="M114" s="12"/>
      <c r="N114" s="12"/>
      <c r="O114" s="12"/>
      <c r="P114" s="12"/>
      <c r="Q114" s="12"/>
      <c r="R114" s="13"/>
      <c r="S114" s="13"/>
      <c r="T114" s="13">
        <f>68680*5</f>
        <v>343400</v>
      </c>
      <c r="U114" s="13">
        <f>68680*5</f>
        <v>343400</v>
      </c>
      <c r="V114" s="13">
        <f>68680*5</f>
        <v>343400</v>
      </c>
      <c r="W114" s="13">
        <f>68680*5</f>
        <v>343400</v>
      </c>
      <c r="X114" s="13">
        <f>68680*5</f>
        <v>343400</v>
      </c>
    </row>
    <row r="115" spans="2:24" ht="65.25" customHeight="1" x14ac:dyDescent="0.3">
      <c r="B115" s="9">
        <v>6</v>
      </c>
      <c r="C115" s="9" t="s">
        <v>42</v>
      </c>
      <c r="D115" s="10" t="s">
        <v>122</v>
      </c>
      <c r="E115" s="11">
        <f t="shared" si="7"/>
        <v>1046364</v>
      </c>
      <c r="F115" s="88">
        <f t="shared" si="6"/>
        <v>1743940</v>
      </c>
      <c r="G115" s="88"/>
      <c r="H115" s="89" t="s">
        <v>123</v>
      </c>
      <c r="I115" s="89"/>
      <c r="J115" s="10">
        <v>2029</v>
      </c>
      <c r="K115" s="89" t="s">
        <v>24</v>
      </c>
      <c r="L115" s="89"/>
      <c r="M115" s="12"/>
      <c r="N115" s="12"/>
      <c r="O115" s="12"/>
      <c r="P115" s="12"/>
      <c r="Q115" s="12"/>
      <c r="R115" s="13"/>
      <c r="S115" s="13"/>
      <c r="T115" s="13">
        <f>69757.6*5</f>
        <v>348788</v>
      </c>
      <c r="U115" s="13">
        <f>69757.6*5</f>
        <v>348788</v>
      </c>
      <c r="V115" s="13">
        <f>69757.6*5</f>
        <v>348788</v>
      </c>
      <c r="W115" s="13">
        <f>69757.6*5</f>
        <v>348788</v>
      </c>
      <c r="X115" s="13">
        <f>69757.6*5</f>
        <v>348788</v>
      </c>
    </row>
    <row r="116" spans="2:24" ht="65.25" customHeight="1" x14ac:dyDescent="0.3">
      <c r="B116" s="9">
        <v>7</v>
      </c>
      <c r="C116" s="9" t="s">
        <v>104</v>
      </c>
      <c r="D116" s="10" t="s">
        <v>122</v>
      </c>
      <c r="E116" s="11">
        <f t="shared" si="7"/>
        <v>1455900</v>
      </c>
      <c r="F116" s="88">
        <f t="shared" si="6"/>
        <v>2426500</v>
      </c>
      <c r="G116" s="88"/>
      <c r="H116" s="89" t="s">
        <v>123</v>
      </c>
      <c r="I116" s="89"/>
      <c r="J116" s="10">
        <v>2029</v>
      </c>
      <c r="K116" s="89" t="s">
        <v>24</v>
      </c>
      <c r="L116" s="89"/>
      <c r="M116" s="12"/>
      <c r="N116" s="12"/>
      <c r="O116" s="12"/>
      <c r="P116" s="12"/>
      <c r="Q116" s="12"/>
      <c r="R116" s="13"/>
      <c r="S116" s="13"/>
      <c r="T116" s="13">
        <f>97060*5</f>
        <v>485300</v>
      </c>
      <c r="U116" s="13">
        <f>97060*5</f>
        <v>485300</v>
      </c>
      <c r="V116" s="13">
        <f>97060*5</f>
        <v>485300</v>
      </c>
      <c r="W116" s="13">
        <f>97060*5</f>
        <v>485300</v>
      </c>
      <c r="X116" s="13">
        <f>97060*5</f>
        <v>485300</v>
      </c>
    </row>
    <row r="117" spans="2:24" ht="69.75" customHeight="1" x14ac:dyDescent="0.3">
      <c r="B117" s="83">
        <v>8</v>
      </c>
      <c r="C117" s="83" t="s">
        <v>30</v>
      </c>
      <c r="D117" s="9" t="s">
        <v>125</v>
      </c>
      <c r="E117" s="14">
        <f>R117+S117+T117+U117+V117</f>
        <v>6308000</v>
      </c>
      <c r="F117" s="93">
        <f>R117+S117+T117+U117+V117</f>
        <v>6308000</v>
      </c>
      <c r="G117" s="93"/>
      <c r="H117" s="83" t="s">
        <v>123</v>
      </c>
      <c r="I117" s="83"/>
      <c r="J117" s="9">
        <v>2027</v>
      </c>
      <c r="K117" s="83" t="s">
        <v>26</v>
      </c>
      <c r="L117" s="83"/>
      <c r="M117" s="15"/>
      <c r="N117" s="15"/>
      <c r="O117" s="15"/>
      <c r="P117" s="15"/>
      <c r="Q117" s="15"/>
      <c r="R117" s="17">
        <f>20000+10000+240000+436000+50000+1500000+1000000+50000+2000</f>
        <v>3308000</v>
      </c>
      <c r="S117" s="17">
        <f>500000+1000000-500000</f>
        <v>1000000</v>
      </c>
      <c r="T117" s="17">
        <v>500000</v>
      </c>
      <c r="U117" s="17">
        <v>500000</v>
      </c>
      <c r="V117" s="17">
        <v>1000000</v>
      </c>
      <c r="W117" s="17">
        <v>0</v>
      </c>
      <c r="X117" s="17">
        <v>0</v>
      </c>
    </row>
    <row r="118" spans="2:24" ht="69.75" customHeight="1" x14ac:dyDescent="0.3">
      <c r="B118" s="83"/>
      <c r="C118" s="83"/>
      <c r="D118" s="94" t="s">
        <v>125</v>
      </c>
      <c r="E118" s="96">
        <f>R118+S118+T118+U118+V118</f>
        <v>3997490.4699999997</v>
      </c>
      <c r="F118" s="98">
        <f>R118+S118+T118+U118+V118</f>
        <v>3997490.4699999997</v>
      </c>
      <c r="G118" s="99"/>
      <c r="H118" s="102" t="s">
        <v>123</v>
      </c>
      <c r="I118" s="103"/>
      <c r="J118" s="94">
        <v>2027</v>
      </c>
      <c r="K118" s="85" t="s">
        <v>116</v>
      </c>
      <c r="L118" s="85"/>
      <c r="M118" s="12"/>
      <c r="N118" s="12"/>
      <c r="O118" s="12"/>
      <c r="P118" s="12"/>
      <c r="Q118" s="12"/>
      <c r="R118" s="13">
        <v>2550000</v>
      </c>
      <c r="S118" s="13">
        <v>1447490.47</v>
      </c>
      <c r="T118" s="13"/>
      <c r="U118" s="13"/>
      <c r="V118" s="13"/>
      <c r="W118" s="13">
        <v>0</v>
      </c>
      <c r="X118" s="13">
        <v>0</v>
      </c>
    </row>
    <row r="119" spans="2:24" ht="69.75" customHeight="1" x14ac:dyDescent="0.3">
      <c r="B119" s="83"/>
      <c r="C119" s="83"/>
      <c r="D119" s="95"/>
      <c r="E119" s="97"/>
      <c r="F119" s="100"/>
      <c r="G119" s="101"/>
      <c r="H119" s="104"/>
      <c r="I119" s="105"/>
      <c r="J119" s="95"/>
      <c r="K119" s="86" t="s">
        <v>117</v>
      </c>
      <c r="L119" s="87"/>
      <c r="M119" s="12"/>
      <c r="N119" s="12"/>
      <c r="O119" s="12"/>
      <c r="P119" s="12"/>
      <c r="Q119" s="12"/>
      <c r="R119" s="13">
        <v>450000</v>
      </c>
      <c r="S119" s="13">
        <v>255439.49</v>
      </c>
      <c r="T119" s="13"/>
      <c r="U119" s="13"/>
      <c r="V119" s="13"/>
      <c r="W119" s="13"/>
      <c r="X119" s="13"/>
    </row>
    <row r="120" spans="2:24" ht="69.75" customHeight="1" x14ac:dyDescent="0.3">
      <c r="B120" s="83"/>
      <c r="C120" s="83"/>
      <c r="D120" s="10" t="s">
        <v>126</v>
      </c>
      <c r="E120" s="11">
        <f>R120+S120+T120+U120+V120</f>
        <v>49779375</v>
      </c>
      <c r="F120" s="88">
        <f>R120+S120+T120+U120+V120+W120+X120</f>
        <v>82965625</v>
      </c>
      <c r="G120" s="88"/>
      <c r="H120" s="89" t="s">
        <v>127</v>
      </c>
      <c r="I120" s="89"/>
      <c r="J120" s="10">
        <v>2029</v>
      </c>
      <c r="K120" s="89" t="s">
        <v>24</v>
      </c>
      <c r="L120" s="89"/>
      <c r="M120" s="12"/>
      <c r="N120" s="12"/>
      <c r="O120" s="12"/>
      <c r="P120" s="12"/>
      <c r="Q120" s="12"/>
      <c r="R120" s="13"/>
      <c r="S120" s="13"/>
      <c r="T120" s="13">
        <f>3318625*5</f>
        <v>16593125</v>
      </c>
      <c r="U120" s="13">
        <f>3318625*5</f>
        <v>16593125</v>
      </c>
      <c r="V120" s="13">
        <f>3318625*5</f>
        <v>16593125</v>
      </c>
      <c r="W120" s="13">
        <f>3318625*5</f>
        <v>16593125</v>
      </c>
      <c r="X120" s="13">
        <f>3318625*5</f>
        <v>16593125</v>
      </c>
    </row>
    <row r="121" spans="2:24" ht="15.6" x14ac:dyDescent="0.3">
      <c r="B121" s="28"/>
      <c r="C121" s="28"/>
      <c r="D121" s="38" t="s">
        <v>128</v>
      </c>
      <c r="E121" s="39">
        <f>SUM(E104:E120)</f>
        <v>91681327.870000005</v>
      </c>
      <c r="F121" s="90">
        <f>SUM(F104:G120)</f>
        <v>134884267.47</v>
      </c>
      <c r="G121" s="91"/>
      <c r="H121" s="40"/>
      <c r="I121" s="41"/>
      <c r="J121" s="41"/>
      <c r="K121" s="92" t="s">
        <v>74</v>
      </c>
      <c r="L121" s="92"/>
      <c r="R121" s="27">
        <f t="shared" ref="R121:X121" si="8">SUM(R104:R120)</f>
        <v>12747000</v>
      </c>
      <c r="S121" s="27">
        <f t="shared" si="8"/>
        <v>6805357.96</v>
      </c>
      <c r="T121" s="27">
        <f t="shared" si="8"/>
        <v>25981469.800000001</v>
      </c>
      <c r="U121" s="27">
        <f t="shared" si="8"/>
        <v>23751469.800000001</v>
      </c>
      <c r="V121" s="27">
        <f t="shared" si="8"/>
        <v>23101469.800000001</v>
      </c>
      <c r="W121" s="27">
        <f t="shared" si="8"/>
        <v>22101469.800000001</v>
      </c>
      <c r="X121" s="27">
        <f t="shared" si="8"/>
        <v>22101469.800000001</v>
      </c>
    </row>
    <row r="122" spans="2:24" x14ac:dyDescent="0.3">
      <c r="K122" t="s">
        <v>109</v>
      </c>
      <c r="R122">
        <f>R117+R109+R104</f>
        <v>3547000</v>
      </c>
      <c r="S122">
        <f>S117+S109+S104</f>
        <v>2000000</v>
      </c>
      <c r="T122">
        <f>T117+T109+T104</f>
        <v>4380000</v>
      </c>
      <c r="U122">
        <f>U117+U109+U104</f>
        <v>2150000</v>
      </c>
      <c r="V122">
        <f>V117+V109+V104</f>
        <v>1500000</v>
      </c>
    </row>
    <row r="123" spans="2:24" ht="23.4" x14ac:dyDescent="0.3">
      <c r="B123" s="78" t="s">
        <v>129</v>
      </c>
      <c r="C123" s="78"/>
      <c r="D123" s="78"/>
      <c r="E123" s="78"/>
      <c r="F123" s="78"/>
      <c r="G123" s="78"/>
      <c r="H123" s="78"/>
      <c r="I123" s="78"/>
      <c r="J123" s="78"/>
      <c r="K123" s="78"/>
      <c r="R123" s="42">
        <f>R120+R116+R115+R114+R113+R112+R111+R110+R105</f>
        <v>0</v>
      </c>
      <c r="S123" s="42">
        <f>S120+S116+S115+S114+S113+S112+S111+S110+S105</f>
        <v>0</v>
      </c>
      <c r="T123" s="42">
        <f>T120+T116+T115+T114+T113+T112+T111+T110+T105</f>
        <v>21601469.800000001</v>
      </c>
      <c r="U123" s="42">
        <f>U120+U116+U115+U114+U113+U112+U111+U110+U105</f>
        <v>21601469.800000001</v>
      </c>
      <c r="V123" s="42">
        <f>V120+V116+V115+V114+V113+V112+V111+V110+V105</f>
        <v>21601469.800000001</v>
      </c>
    </row>
    <row r="124" spans="2:24" ht="15.6" x14ac:dyDescent="0.3">
      <c r="B124" s="79" t="s">
        <v>1</v>
      </c>
      <c r="C124" s="80" t="s">
        <v>2</v>
      </c>
      <c r="D124" s="80"/>
      <c r="E124" s="80"/>
      <c r="F124" s="80"/>
      <c r="G124" s="80"/>
      <c r="H124" s="80"/>
      <c r="I124" s="80"/>
      <c r="J124" s="80"/>
      <c r="K124" s="80"/>
      <c r="L124" s="81" t="s">
        <v>3</v>
      </c>
      <c r="M124" s="81"/>
      <c r="N124" s="81"/>
      <c r="O124" s="81"/>
      <c r="P124" s="81"/>
      <c r="Q124" s="6"/>
      <c r="R124" s="82" t="s">
        <v>4</v>
      </c>
      <c r="S124" s="82"/>
      <c r="T124" s="82"/>
      <c r="U124" s="82"/>
      <c r="V124" s="82"/>
      <c r="W124" s="6"/>
      <c r="X124" s="6"/>
    </row>
    <row r="125" spans="2:24" ht="62.4" x14ac:dyDescent="0.3">
      <c r="B125" s="79"/>
      <c r="C125" s="3" t="s">
        <v>5</v>
      </c>
      <c r="D125" s="28" t="s">
        <v>6</v>
      </c>
      <c r="E125" s="28" t="s">
        <v>7</v>
      </c>
      <c r="F125" s="28" t="s">
        <v>8</v>
      </c>
      <c r="G125" s="28" t="s">
        <v>130</v>
      </c>
      <c r="H125" s="28" t="s">
        <v>77</v>
      </c>
      <c r="I125" s="28" t="s">
        <v>11</v>
      </c>
      <c r="J125" s="28" t="s">
        <v>12</v>
      </c>
      <c r="K125" s="28" t="s">
        <v>13</v>
      </c>
      <c r="L125" s="28" t="s">
        <v>131</v>
      </c>
      <c r="M125" s="28" t="s">
        <v>15</v>
      </c>
      <c r="N125" s="28" t="s">
        <v>16</v>
      </c>
      <c r="O125" s="28" t="s">
        <v>17</v>
      </c>
      <c r="P125" s="28" t="s">
        <v>78</v>
      </c>
      <c r="Q125" s="28" t="s">
        <v>19</v>
      </c>
      <c r="R125" s="7">
        <v>2023</v>
      </c>
      <c r="S125" s="7">
        <v>2024</v>
      </c>
      <c r="T125" s="7">
        <v>2025</v>
      </c>
      <c r="U125" s="7">
        <v>2026</v>
      </c>
      <c r="V125" s="7">
        <v>2027</v>
      </c>
      <c r="W125" s="7">
        <v>2028</v>
      </c>
      <c r="X125" s="7">
        <v>2029</v>
      </c>
    </row>
    <row r="126" spans="2:24" ht="31.2" x14ac:dyDescent="0.3">
      <c r="B126" s="9">
        <v>1</v>
      </c>
      <c r="C126" s="9" t="s">
        <v>20</v>
      </c>
      <c r="D126" s="9" t="s">
        <v>132</v>
      </c>
      <c r="E126" s="9">
        <v>0.5</v>
      </c>
      <c r="F126" s="9" t="s">
        <v>22</v>
      </c>
      <c r="G126" s="14">
        <f t="shared" ref="G126:G133" si="9">R126+S126+T126+U126+V126</f>
        <v>65000</v>
      </c>
      <c r="H126" s="14">
        <f>R126+S126+T126+U126+V126</f>
        <v>65000</v>
      </c>
      <c r="I126" s="9" t="s">
        <v>55</v>
      </c>
      <c r="J126" s="3" t="s">
        <v>26</v>
      </c>
      <c r="K126" s="9">
        <v>2027</v>
      </c>
      <c r="L126" s="9"/>
      <c r="M126" s="15"/>
      <c r="N126" s="15"/>
      <c r="O126" s="15"/>
      <c r="P126" s="15"/>
      <c r="Q126" s="15"/>
      <c r="R126" s="33">
        <f>12000-7000</f>
        <v>5000</v>
      </c>
      <c r="S126" s="33">
        <v>15000</v>
      </c>
      <c r="T126" s="33">
        <v>15000</v>
      </c>
      <c r="U126" s="33">
        <v>15000</v>
      </c>
      <c r="V126" s="33">
        <v>15000</v>
      </c>
      <c r="W126" s="33">
        <v>0</v>
      </c>
      <c r="X126" s="33">
        <v>0</v>
      </c>
    </row>
    <row r="127" spans="2:24" ht="62.4" x14ac:dyDescent="0.3">
      <c r="B127" s="83">
        <v>2</v>
      </c>
      <c r="C127" s="83" t="s">
        <v>30</v>
      </c>
      <c r="D127" s="10" t="s">
        <v>132</v>
      </c>
      <c r="E127" s="10">
        <f>142.031-48.74</f>
        <v>93.290999999999997</v>
      </c>
      <c r="F127" s="10" t="s">
        <v>22</v>
      </c>
      <c r="G127" s="11">
        <f t="shared" si="9"/>
        <v>83277863.699999988</v>
      </c>
      <c r="H127" s="11">
        <f>R127+S127+T127+U127+V127+W127+X127</f>
        <v>138796439.5</v>
      </c>
      <c r="I127" s="10" t="s">
        <v>133</v>
      </c>
      <c r="J127" s="10" t="s">
        <v>24</v>
      </c>
      <c r="K127" s="10">
        <v>2029</v>
      </c>
      <c r="L127" s="10"/>
      <c r="M127" s="12"/>
      <c r="N127" s="12"/>
      <c r="O127" s="12"/>
      <c r="P127" s="12"/>
      <c r="Q127" s="12"/>
      <c r="R127" s="30"/>
      <c r="S127" s="30"/>
      <c r="T127" s="30">
        <f>7471880.66*5-9600115.4</f>
        <v>27759287.899999999</v>
      </c>
      <c r="U127" s="30">
        <f>7471880.66*5-9600115.4</f>
        <v>27759287.899999999</v>
      </c>
      <c r="V127" s="30">
        <f>7471880.66*5-9600115.4</f>
        <v>27759287.899999999</v>
      </c>
      <c r="W127" s="30">
        <f>7471880.66*5-9600115.4</f>
        <v>27759287.899999999</v>
      </c>
      <c r="X127" s="30">
        <f>7471880.66*5-9600115.4</f>
        <v>27759287.899999999</v>
      </c>
    </row>
    <row r="128" spans="2:24" ht="62.25" customHeight="1" x14ac:dyDescent="0.3">
      <c r="B128" s="83"/>
      <c r="C128" s="84"/>
      <c r="D128" s="9" t="s">
        <v>132</v>
      </c>
      <c r="E128" s="9">
        <f>0.25+3+0.07+0.15+0.86+0.5+2.5</f>
        <v>7.33</v>
      </c>
      <c r="F128" s="9" t="s">
        <v>22</v>
      </c>
      <c r="G128" s="14">
        <f t="shared" si="9"/>
        <v>10112000</v>
      </c>
      <c r="H128" s="14">
        <f>R128+S128+T128+U128+V128</f>
        <v>10112000</v>
      </c>
      <c r="I128" s="9" t="s">
        <v>133</v>
      </c>
      <c r="J128" s="3" t="s">
        <v>26</v>
      </c>
      <c r="K128" s="9">
        <v>2027</v>
      </c>
      <c r="L128" s="9"/>
      <c r="M128" s="15"/>
      <c r="N128" s="15"/>
      <c r="O128" s="15"/>
      <c r="P128" s="15"/>
      <c r="Q128" s="15"/>
      <c r="R128" s="33">
        <f>15000+25000+30000+60000+50000</f>
        <v>180000</v>
      </c>
      <c r="S128" s="33">
        <f>372000-15000+975000+100000-500000</f>
        <v>932000</v>
      </c>
      <c r="T128" s="33">
        <f>1300000+250000+500000+1000000+100000</f>
        <v>3150000</v>
      </c>
      <c r="U128" s="33">
        <f>1300000+450000+500000+1000000+100000</f>
        <v>3350000</v>
      </c>
      <c r="V128" s="33">
        <f>2400000+100000</f>
        <v>2500000</v>
      </c>
      <c r="W128" s="35">
        <v>0</v>
      </c>
      <c r="X128" s="34">
        <v>0</v>
      </c>
    </row>
    <row r="129" spans="2:24" ht="62.4" x14ac:dyDescent="0.3">
      <c r="B129" s="9">
        <v>3</v>
      </c>
      <c r="C129" s="9" t="s">
        <v>134</v>
      </c>
      <c r="D129" s="10" t="s">
        <v>132</v>
      </c>
      <c r="E129" s="10">
        <v>2.7589999999999999</v>
      </c>
      <c r="F129" s="10" t="s">
        <v>22</v>
      </c>
      <c r="G129" s="11">
        <f t="shared" si="9"/>
        <v>1408125.5999999999</v>
      </c>
      <c r="H129" s="11">
        <f>R129+S129+T129+U129+V129+W129+X129</f>
        <v>2346876</v>
      </c>
      <c r="I129" s="10" t="s">
        <v>133</v>
      </c>
      <c r="J129" s="10" t="s">
        <v>24</v>
      </c>
      <c r="K129" s="10">
        <v>2029</v>
      </c>
      <c r="L129" s="10"/>
      <c r="M129" s="12"/>
      <c r="N129" s="12"/>
      <c r="O129" s="12"/>
      <c r="P129" s="12"/>
      <c r="Q129" s="12"/>
      <c r="R129" s="30"/>
      <c r="S129" s="30"/>
      <c r="T129" s="30">
        <f>93875.04*5</f>
        <v>469375.19999999995</v>
      </c>
      <c r="U129" s="30">
        <f>93875.04*5</f>
        <v>469375.19999999995</v>
      </c>
      <c r="V129" s="30">
        <f>93875.04*5</f>
        <v>469375.19999999995</v>
      </c>
      <c r="W129" s="30">
        <f>93875.04*5</f>
        <v>469375.19999999995</v>
      </c>
      <c r="X129" s="30">
        <f>93875.04*5</f>
        <v>469375.19999999995</v>
      </c>
    </row>
    <row r="130" spans="2:24" ht="62.4" x14ac:dyDescent="0.3">
      <c r="B130" s="9">
        <v>4</v>
      </c>
      <c r="C130" s="9" t="s">
        <v>32</v>
      </c>
      <c r="D130" s="10" t="s">
        <v>132</v>
      </c>
      <c r="E130" s="10">
        <f>20.976-13.741</f>
        <v>7.2349999999999994</v>
      </c>
      <c r="F130" s="10" t="s">
        <v>22</v>
      </c>
      <c r="G130" s="11">
        <f t="shared" si="9"/>
        <v>3730332.3</v>
      </c>
      <c r="H130" s="11">
        <f>R130+S130+T130+U130+V130+W130+X130</f>
        <v>6217220.4999999991</v>
      </c>
      <c r="I130" s="10" t="s">
        <v>133</v>
      </c>
      <c r="J130" s="10" t="s">
        <v>24</v>
      </c>
      <c r="K130" s="10">
        <v>2029</v>
      </c>
      <c r="L130" s="10"/>
      <c r="M130" s="12"/>
      <c r="N130" s="12"/>
      <c r="O130" s="12"/>
      <c r="P130" s="12"/>
      <c r="Q130" s="12"/>
      <c r="R130" s="30"/>
      <c r="S130" s="30"/>
      <c r="T130" s="30">
        <f>615285.96*5-1832985.7</f>
        <v>1243444.0999999999</v>
      </c>
      <c r="U130" s="30">
        <f>615285.96*5-1832985.7</f>
        <v>1243444.0999999999</v>
      </c>
      <c r="V130" s="30">
        <f>615285.96*5-1832985.7</f>
        <v>1243444.0999999999</v>
      </c>
      <c r="W130" s="30">
        <f>615285.96*5-1832985.7</f>
        <v>1243444.0999999999</v>
      </c>
      <c r="X130" s="30">
        <f>615285.96*5-1832985.7</f>
        <v>1243444.0999999999</v>
      </c>
    </row>
    <row r="131" spans="2:24" ht="62.4" x14ac:dyDescent="0.3">
      <c r="B131" s="9">
        <v>5</v>
      </c>
      <c r="C131" s="9" t="s">
        <v>39</v>
      </c>
      <c r="D131" s="10" t="s">
        <v>132</v>
      </c>
      <c r="E131" s="10">
        <v>0.51600000000000001</v>
      </c>
      <c r="F131" s="10" t="s">
        <v>22</v>
      </c>
      <c r="G131" s="11">
        <f t="shared" si="9"/>
        <v>1042183.2000000001</v>
      </c>
      <c r="H131" s="11">
        <f>R131+S131+T131+U131+V131+W131+X131</f>
        <v>1736972</v>
      </c>
      <c r="I131" s="10" t="s">
        <v>133</v>
      </c>
      <c r="J131" s="10" t="s">
        <v>24</v>
      </c>
      <c r="K131" s="10">
        <v>2029</v>
      </c>
      <c r="L131" s="10"/>
      <c r="M131" s="12"/>
      <c r="N131" s="12"/>
      <c r="O131" s="12"/>
      <c r="P131" s="12"/>
      <c r="Q131" s="12"/>
      <c r="R131" s="30"/>
      <c r="S131" s="30"/>
      <c r="T131" s="30">
        <f>69478.88*5</f>
        <v>347394.4</v>
      </c>
      <c r="U131" s="30">
        <f>69478.88*5</f>
        <v>347394.4</v>
      </c>
      <c r="V131" s="30">
        <f>69478.88*5</f>
        <v>347394.4</v>
      </c>
      <c r="W131" s="30">
        <f>69478.88*5</f>
        <v>347394.4</v>
      </c>
      <c r="X131" s="30">
        <f>69478.88*5</f>
        <v>347394.4</v>
      </c>
    </row>
    <row r="132" spans="2:24" ht="31.2" x14ac:dyDescent="0.3">
      <c r="B132" s="9">
        <v>6</v>
      </c>
      <c r="C132" s="9" t="s">
        <v>135</v>
      </c>
      <c r="D132" s="9" t="s">
        <v>136</v>
      </c>
      <c r="E132" s="9">
        <v>0.3</v>
      </c>
      <c r="F132" s="9" t="s">
        <v>22</v>
      </c>
      <c r="G132" s="14">
        <f t="shared" si="9"/>
        <v>375000</v>
      </c>
      <c r="H132" s="14">
        <f>R132+S132+T132+U132+V132</f>
        <v>375000</v>
      </c>
      <c r="I132" s="9" t="s">
        <v>137</v>
      </c>
      <c r="J132" s="3" t="s">
        <v>26</v>
      </c>
      <c r="K132" s="9">
        <v>2025</v>
      </c>
      <c r="L132" s="9"/>
      <c r="M132" s="15"/>
      <c r="N132" s="15"/>
      <c r="O132" s="15"/>
      <c r="P132" s="15"/>
      <c r="Q132" s="15"/>
      <c r="R132" s="33"/>
      <c r="S132" s="33"/>
      <c r="T132" s="33">
        <v>375000</v>
      </c>
      <c r="U132" s="33"/>
      <c r="V132" s="35"/>
      <c r="W132" s="35">
        <v>0</v>
      </c>
      <c r="X132" s="34">
        <v>0</v>
      </c>
    </row>
    <row r="133" spans="2:24" ht="62.4" x14ac:dyDescent="0.3">
      <c r="B133" s="9">
        <v>7</v>
      </c>
      <c r="C133" s="9" t="s">
        <v>31</v>
      </c>
      <c r="D133" s="9" t="s">
        <v>136</v>
      </c>
      <c r="E133" s="9">
        <v>0.8</v>
      </c>
      <c r="F133" s="9" t="s">
        <v>22</v>
      </c>
      <c r="G133" s="14">
        <f t="shared" si="9"/>
        <v>500000</v>
      </c>
      <c r="H133" s="14">
        <f>R133+S133+T133+U133+V133</f>
        <v>500000</v>
      </c>
      <c r="I133" s="9" t="s">
        <v>133</v>
      </c>
      <c r="J133" s="3" t="s">
        <v>26</v>
      </c>
      <c r="K133" s="9">
        <v>2026</v>
      </c>
      <c r="L133" s="9"/>
      <c r="M133" s="15"/>
      <c r="N133" s="15"/>
      <c r="O133" s="15"/>
      <c r="P133" s="15"/>
      <c r="Q133" s="15"/>
      <c r="R133" s="33"/>
      <c r="S133" s="33"/>
      <c r="T133" s="33"/>
      <c r="U133" s="33">
        <v>500000</v>
      </c>
      <c r="V133" s="35"/>
      <c r="W133" s="35">
        <v>0</v>
      </c>
      <c r="X133" s="34">
        <v>0</v>
      </c>
    </row>
    <row r="134" spans="2:24" x14ac:dyDescent="0.3">
      <c r="C134" s="76" t="s">
        <v>138</v>
      </c>
      <c r="D134" s="76"/>
      <c r="E134" s="76"/>
      <c r="F134" s="27">
        <f>SUM(G126:G133)</f>
        <v>100510504.79999998</v>
      </c>
      <c r="G134" s="27">
        <f>SUM(G126:G133)</f>
        <v>100510504.79999998</v>
      </c>
      <c r="H134" s="27">
        <f>SUM(H126:H133)</f>
        <v>160149508</v>
      </c>
      <c r="R134" s="27">
        <f>SUM(R126:R133)</f>
        <v>185000</v>
      </c>
      <c r="S134">
        <f t="shared" ref="S134:X134" si="10">SUM(S126:S133)</f>
        <v>947000</v>
      </c>
      <c r="T134">
        <f t="shared" si="10"/>
        <v>33359501.599999998</v>
      </c>
      <c r="U134">
        <f t="shared" si="10"/>
        <v>33684501.599999994</v>
      </c>
      <c r="V134">
        <f t="shared" si="10"/>
        <v>32334501.599999998</v>
      </c>
      <c r="W134">
        <f t="shared" si="10"/>
        <v>29819501.599999998</v>
      </c>
      <c r="X134">
        <f t="shared" si="10"/>
        <v>29819501.599999998</v>
      </c>
    </row>
    <row r="136" spans="2:24" ht="15.6" x14ac:dyDescent="0.3">
      <c r="C136" s="44" t="s">
        <v>139</v>
      </c>
      <c r="D136" s="45" t="s">
        <v>140</v>
      </c>
      <c r="F136" s="27">
        <f>F134+E121+I97+F64</f>
        <v>977223896.43999982</v>
      </c>
      <c r="Q136" t="s">
        <v>141</v>
      </c>
      <c r="R136" s="46">
        <v>2023</v>
      </c>
      <c r="S136" s="46">
        <v>2024</v>
      </c>
      <c r="T136" s="46">
        <v>2025</v>
      </c>
      <c r="U136" s="46">
        <v>2026</v>
      </c>
      <c r="V136" s="46">
        <v>2027</v>
      </c>
      <c r="W136" s="43" t="s">
        <v>74</v>
      </c>
    </row>
    <row r="137" spans="2:24" ht="36.75" customHeight="1" x14ac:dyDescent="0.3">
      <c r="C137" s="77" t="s">
        <v>142</v>
      </c>
      <c r="D137" s="77"/>
      <c r="E137" s="77"/>
      <c r="F137" s="77"/>
      <c r="G137" s="77"/>
      <c r="H137" s="77"/>
      <c r="I137" s="77"/>
      <c r="J137" s="77"/>
      <c r="K137" s="77"/>
      <c r="L137" s="77"/>
      <c r="Q137" t="s">
        <v>74</v>
      </c>
      <c r="R137" s="27"/>
      <c r="S137" s="27"/>
      <c r="T137" s="27"/>
      <c r="U137" s="27"/>
      <c r="V137" s="27"/>
    </row>
    <row r="139" spans="2:24" x14ac:dyDescent="0.3">
      <c r="D139" s="47" t="s">
        <v>143</v>
      </c>
      <c r="H139" s="27">
        <f>H134+F121+I97+H64+'investitii in derulare'!V30</f>
        <v>1387628422.54</v>
      </c>
      <c r="K139" t="s">
        <v>144</v>
      </c>
      <c r="R139">
        <f>R133+R132+R128+R126</f>
        <v>185000</v>
      </c>
      <c r="S139">
        <f>S133+S132+S128+S126</f>
        <v>947000</v>
      </c>
      <c r="T139">
        <f>T133+T132+T128+T126</f>
        <v>3540000</v>
      </c>
      <c r="U139">
        <f>U133+U132+U128+U126</f>
        <v>3865000</v>
      </c>
      <c r="V139">
        <f>V133+V132+V128+V126</f>
        <v>2515000</v>
      </c>
    </row>
    <row r="140" spans="2:24" x14ac:dyDescent="0.3">
      <c r="K140" t="s">
        <v>145</v>
      </c>
      <c r="R140">
        <f>R131+R130+R129+R127</f>
        <v>0</v>
      </c>
      <c r="S140">
        <f>S131+S130+S129+S127</f>
        <v>0</v>
      </c>
      <c r="T140">
        <f>T131+T130+T129+T127</f>
        <v>29819501.599999998</v>
      </c>
      <c r="U140">
        <f>U131+U130+U129+U127</f>
        <v>29819501.599999998</v>
      </c>
      <c r="V140">
        <f>V131+V130+V129+V127</f>
        <v>29819501.599999998</v>
      </c>
    </row>
    <row r="144" spans="2:24" x14ac:dyDescent="0.3">
      <c r="K144" t="s">
        <v>146</v>
      </c>
      <c r="R144" s="27">
        <f>R139+R122+S99+R67</f>
        <v>7590333</v>
      </c>
      <c r="S144" s="27">
        <f>S139+S122+T99+S67</f>
        <v>18002000</v>
      </c>
      <c r="T144" s="27">
        <f>T139+T122+U99+T67</f>
        <v>19995000</v>
      </c>
      <c r="U144" s="27">
        <f>U139+U122+V99+U67</f>
        <v>20505000</v>
      </c>
      <c r="V144" s="27">
        <f>V139+V122+W99+V67</f>
        <v>20965000</v>
      </c>
    </row>
    <row r="145" spans="11:24" x14ac:dyDescent="0.3">
      <c r="K145" t="s">
        <v>147</v>
      </c>
      <c r="R145" s="27">
        <f>R140+R123+S101+R68</f>
        <v>0</v>
      </c>
      <c r="S145" s="27">
        <f>S140+S123+T101+S68</f>
        <v>0</v>
      </c>
      <c r="T145" s="27">
        <f>T140+T123+U101+T68</f>
        <v>243811166.94999999</v>
      </c>
      <c r="U145" s="27">
        <f>U140+U123+V101+U68</f>
        <v>243811166.94999999</v>
      </c>
      <c r="V145" s="27">
        <f>V140+V123+W101+V68</f>
        <v>243811166.94999999</v>
      </c>
    </row>
    <row r="146" spans="11:24" x14ac:dyDescent="0.3">
      <c r="K146" t="s">
        <v>148</v>
      </c>
      <c r="R146" s="27">
        <f>S100</f>
        <v>11167732</v>
      </c>
      <c r="S146" s="27">
        <f>T100</f>
        <v>2047983.3199999996</v>
      </c>
      <c r="T146" s="27">
        <f>U100</f>
        <v>0</v>
      </c>
      <c r="U146" s="27">
        <f>V100</f>
        <v>0</v>
      </c>
      <c r="V146" s="27">
        <f>W100</f>
        <v>0</v>
      </c>
    </row>
    <row r="148" spans="11:24" x14ac:dyDescent="0.3">
      <c r="K148" t="s">
        <v>149</v>
      </c>
      <c r="R148" s="27">
        <f>SUM(R144:R147)</f>
        <v>18758065</v>
      </c>
      <c r="S148" s="27">
        <f>SUM(S144:S147)</f>
        <v>20049983.32</v>
      </c>
      <c r="T148" s="27">
        <f>SUM(T144:T147)</f>
        <v>263806166.94999999</v>
      </c>
      <c r="U148" s="27">
        <f>SUM(U144:U147)</f>
        <v>264316166.94999999</v>
      </c>
      <c r="V148" s="27">
        <f>SUM(V144:V147)</f>
        <v>264776166.94999999</v>
      </c>
    </row>
    <row r="151" spans="11:24" x14ac:dyDescent="0.3">
      <c r="R151" s="48">
        <v>2023</v>
      </c>
      <c r="S151" s="48">
        <v>2024</v>
      </c>
      <c r="T151" s="48">
        <v>2025</v>
      </c>
      <c r="U151" s="48">
        <v>2026</v>
      </c>
      <c r="V151" s="48">
        <v>2027</v>
      </c>
      <c r="W151" s="48">
        <v>2028</v>
      </c>
      <c r="X151" s="48">
        <v>2029</v>
      </c>
    </row>
    <row r="152" spans="11:24" x14ac:dyDescent="0.3">
      <c r="P152" s="6" t="s">
        <v>150</v>
      </c>
      <c r="Q152" s="49" t="s">
        <v>151</v>
      </c>
      <c r="R152" s="34">
        <f t="shared" ref="R152:X152" si="11">R7+R8+R11+R13+R41+R45+R48+R49+R54+R58+R60+R61+R62+R63</f>
        <v>2558333</v>
      </c>
      <c r="S152" s="34">
        <f t="shared" si="11"/>
        <v>10355000</v>
      </c>
      <c r="T152" s="34">
        <f t="shared" si="11"/>
        <v>11575000</v>
      </c>
      <c r="U152" s="34">
        <f t="shared" si="11"/>
        <v>10490000</v>
      </c>
      <c r="V152" s="34">
        <f t="shared" si="11"/>
        <v>11450000</v>
      </c>
      <c r="W152" s="34">
        <f t="shared" si="11"/>
        <v>0</v>
      </c>
      <c r="X152" s="34">
        <f t="shared" si="11"/>
        <v>0</v>
      </c>
    </row>
    <row r="153" spans="11:24" x14ac:dyDescent="0.3">
      <c r="P153" s="6"/>
      <c r="Q153" s="49" t="s">
        <v>152</v>
      </c>
      <c r="R153" s="34">
        <f t="shared" ref="R153:X153" si="12">S77+S80+S82+S84+S89+S91+S96</f>
        <v>1300000</v>
      </c>
      <c r="S153" s="34">
        <f t="shared" si="12"/>
        <v>4700000</v>
      </c>
      <c r="T153" s="34">
        <f t="shared" si="12"/>
        <v>500000</v>
      </c>
      <c r="U153" s="34">
        <f t="shared" si="12"/>
        <v>4000000</v>
      </c>
      <c r="V153" s="34">
        <f t="shared" si="12"/>
        <v>5500000</v>
      </c>
      <c r="W153" s="34">
        <f t="shared" si="12"/>
        <v>0</v>
      </c>
      <c r="X153" s="34">
        <f t="shared" si="12"/>
        <v>0</v>
      </c>
    </row>
    <row r="154" spans="11:24" x14ac:dyDescent="0.3">
      <c r="P154" s="6" t="s">
        <v>153</v>
      </c>
      <c r="Q154" s="50" t="s">
        <v>151</v>
      </c>
      <c r="R154" s="6">
        <f t="shared" ref="R154:X154" si="13">R104/2+R109+R117</f>
        <v>3435000</v>
      </c>
      <c r="S154" s="6">
        <f t="shared" si="13"/>
        <v>1750000</v>
      </c>
      <c r="T154" s="6">
        <f t="shared" si="13"/>
        <v>3440000</v>
      </c>
      <c r="U154" s="6">
        <f t="shared" si="13"/>
        <v>1875000</v>
      </c>
      <c r="V154" s="6">
        <f t="shared" si="13"/>
        <v>1500000</v>
      </c>
      <c r="W154" s="6">
        <f t="shared" si="13"/>
        <v>500000</v>
      </c>
      <c r="X154" s="6">
        <f t="shared" si="13"/>
        <v>500000</v>
      </c>
    </row>
    <row r="155" spans="11:24" x14ac:dyDescent="0.3">
      <c r="P155" s="6"/>
      <c r="Q155" s="50" t="s">
        <v>152</v>
      </c>
      <c r="R155" s="6">
        <f t="shared" ref="R155:X155" si="14">R104/2</f>
        <v>112000</v>
      </c>
      <c r="S155" s="6">
        <f t="shared" si="14"/>
        <v>250000</v>
      </c>
      <c r="T155" s="6">
        <f t="shared" si="14"/>
        <v>940000</v>
      </c>
      <c r="U155" s="6">
        <f t="shared" si="14"/>
        <v>275000</v>
      </c>
      <c r="V155" s="6">
        <f t="shared" si="14"/>
        <v>0</v>
      </c>
      <c r="W155" s="6">
        <f t="shared" si="14"/>
        <v>0</v>
      </c>
      <c r="X155" s="6">
        <f t="shared" si="14"/>
        <v>0</v>
      </c>
    </row>
    <row r="156" spans="11:24" x14ac:dyDescent="0.3">
      <c r="P156" s="6" t="s">
        <v>154</v>
      </c>
      <c r="Q156" s="51" t="s">
        <v>151</v>
      </c>
      <c r="R156" s="6">
        <f>0</f>
        <v>0</v>
      </c>
      <c r="S156" s="6">
        <f>0</f>
        <v>0</v>
      </c>
      <c r="T156" s="6">
        <f>0</f>
        <v>0</v>
      </c>
      <c r="U156" s="6">
        <f>0</f>
        <v>0</v>
      </c>
      <c r="V156" s="6">
        <f>0</f>
        <v>0</v>
      </c>
      <c r="W156" s="6">
        <f>0</f>
        <v>0</v>
      </c>
      <c r="X156" s="6">
        <f>0</f>
        <v>0</v>
      </c>
    </row>
    <row r="157" spans="11:24" x14ac:dyDescent="0.3">
      <c r="P157" s="6"/>
      <c r="Q157" s="51" t="s">
        <v>152</v>
      </c>
      <c r="R157" s="34">
        <f>R126+R128+R132+R133</f>
        <v>185000</v>
      </c>
      <c r="S157" s="34">
        <f t="shared" ref="S157:X157" si="15">S126+S128+S132+S133</f>
        <v>947000</v>
      </c>
      <c r="T157" s="34">
        <f t="shared" si="15"/>
        <v>3540000</v>
      </c>
      <c r="U157" s="34">
        <f t="shared" si="15"/>
        <v>3865000</v>
      </c>
      <c r="V157" s="34">
        <f t="shared" si="15"/>
        <v>2515000</v>
      </c>
      <c r="W157" s="34">
        <f t="shared" si="15"/>
        <v>0</v>
      </c>
      <c r="X157" s="34">
        <f t="shared" si="15"/>
        <v>0</v>
      </c>
    </row>
    <row r="158" spans="11:24" x14ac:dyDescent="0.3">
      <c r="P158" s="6" t="s">
        <v>109</v>
      </c>
      <c r="Q158" s="6"/>
      <c r="R158" s="52">
        <f>SUM(R152:R157)</f>
        <v>7590333</v>
      </c>
      <c r="S158" s="52">
        <f t="shared" ref="S158:X158" si="16">SUM(S152:S157)</f>
        <v>18002000</v>
      </c>
      <c r="T158" s="52">
        <f t="shared" si="16"/>
        <v>19995000</v>
      </c>
      <c r="U158" s="52">
        <f t="shared" si="16"/>
        <v>20505000</v>
      </c>
      <c r="V158" s="52">
        <f t="shared" si="16"/>
        <v>20965000</v>
      </c>
      <c r="W158" s="52">
        <f t="shared" si="16"/>
        <v>500000</v>
      </c>
      <c r="X158" s="52">
        <f t="shared" si="16"/>
        <v>500000</v>
      </c>
    </row>
    <row r="160" spans="11:24" x14ac:dyDescent="0.3">
      <c r="P160" s="6" t="s">
        <v>155</v>
      </c>
      <c r="Q160" s="49" t="s">
        <v>151</v>
      </c>
      <c r="R160" s="34">
        <f>0</f>
        <v>0</v>
      </c>
      <c r="S160" s="34">
        <f>0</f>
        <v>0</v>
      </c>
      <c r="T160" s="34">
        <f>0</f>
        <v>0</v>
      </c>
      <c r="U160" s="34">
        <f>0</f>
        <v>0</v>
      </c>
      <c r="V160" s="34">
        <f>0</f>
        <v>0</v>
      </c>
      <c r="W160" s="34">
        <f>0</f>
        <v>0</v>
      </c>
      <c r="X160" s="34">
        <f>0</f>
        <v>0</v>
      </c>
    </row>
    <row r="161" spans="16:24" x14ac:dyDescent="0.3">
      <c r="P161" s="6"/>
      <c r="Q161" s="49" t="s">
        <v>152</v>
      </c>
      <c r="R161" s="34">
        <f t="shared" ref="R161:X161" si="17">S76+S79+S81+S83</f>
        <v>11167732</v>
      </c>
      <c r="S161" s="34">
        <f t="shared" si="17"/>
        <v>2047983.3199999996</v>
      </c>
      <c r="T161" s="34">
        <f t="shared" si="17"/>
        <v>0</v>
      </c>
      <c r="U161" s="34">
        <f t="shared" si="17"/>
        <v>0</v>
      </c>
      <c r="V161" s="34">
        <f t="shared" si="17"/>
        <v>0</v>
      </c>
      <c r="W161" s="34">
        <f t="shared" si="17"/>
        <v>0</v>
      </c>
      <c r="X161" s="34">
        <f t="shared" si="17"/>
        <v>0</v>
      </c>
    </row>
    <row r="162" spans="16:24" x14ac:dyDescent="0.3">
      <c r="P162" s="6" t="s">
        <v>156</v>
      </c>
      <c r="Q162" s="50" t="s">
        <v>151</v>
      </c>
      <c r="R162" s="34">
        <v>0</v>
      </c>
      <c r="S162" s="34">
        <v>0</v>
      </c>
      <c r="T162" s="34">
        <v>0</v>
      </c>
      <c r="U162" s="34">
        <v>0</v>
      </c>
      <c r="V162" s="34">
        <v>0</v>
      </c>
      <c r="W162" s="34">
        <v>0</v>
      </c>
      <c r="X162" s="34">
        <v>0</v>
      </c>
    </row>
    <row r="163" spans="16:24" x14ac:dyDescent="0.3">
      <c r="P163" s="6"/>
      <c r="Q163" s="50" t="s">
        <v>152</v>
      </c>
      <c r="R163" s="34">
        <v>0</v>
      </c>
      <c r="S163" s="34">
        <v>0</v>
      </c>
      <c r="T163" s="34">
        <v>0</v>
      </c>
      <c r="U163" s="34">
        <v>0</v>
      </c>
      <c r="V163" s="34">
        <v>0</v>
      </c>
      <c r="W163" s="34">
        <v>0</v>
      </c>
      <c r="X163" s="34">
        <v>0</v>
      </c>
    </row>
    <row r="164" spans="16:24" x14ac:dyDescent="0.3">
      <c r="P164" s="6" t="s">
        <v>157</v>
      </c>
      <c r="Q164" s="51" t="s">
        <v>151</v>
      </c>
      <c r="R164" s="34">
        <v>0</v>
      </c>
      <c r="S164" s="34">
        <v>0</v>
      </c>
      <c r="T164" s="34">
        <v>0</v>
      </c>
      <c r="U164" s="34">
        <v>0</v>
      </c>
      <c r="V164" s="34">
        <v>0</v>
      </c>
      <c r="W164" s="34">
        <v>0</v>
      </c>
      <c r="X164" s="34">
        <v>0</v>
      </c>
    </row>
    <row r="165" spans="16:24" x14ac:dyDescent="0.3">
      <c r="P165" s="6"/>
      <c r="Q165" s="51" t="s">
        <v>152</v>
      </c>
      <c r="R165" s="34">
        <v>0</v>
      </c>
      <c r="S165" s="34">
        <v>0</v>
      </c>
      <c r="T165" s="34">
        <v>0</v>
      </c>
      <c r="U165" s="34">
        <v>0</v>
      </c>
      <c r="V165" s="34">
        <v>0</v>
      </c>
      <c r="W165" s="34">
        <v>0</v>
      </c>
      <c r="X165" s="34">
        <v>0</v>
      </c>
    </row>
    <row r="166" spans="16:24" x14ac:dyDescent="0.3">
      <c r="P166" s="6" t="s">
        <v>158</v>
      </c>
      <c r="Q166" s="6"/>
      <c r="R166" s="52">
        <f>SUM(R160:R165)</f>
        <v>11167732</v>
      </c>
      <c r="S166" s="52">
        <f t="shared" ref="S166:X166" si="18">SUM(S160:S165)</f>
        <v>2047983.3199999996</v>
      </c>
      <c r="T166" s="52">
        <f t="shared" si="18"/>
        <v>0</v>
      </c>
      <c r="U166" s="52">
        <f t="shared" si="18"/>
        <v>0</v>
      </c>
      <c r="V166" s="52">
        <f t="shared" si="18"/>
        <v>0</v>
      </c>
      <c r="W166" s="52">
        <f t="shared" si="18"/>
        <v>0</v>
      </c>
      <c r="X166" s="52">
        <f t="shared" si="18"/>
        <v>0</v>
      </c>
    </row>
    <row r="168" spans="16:24" x14ac:dyDescent="0.3">
      <c r="P168" s="6" t="s">
        <v>159</v>
      </c>
      <c r="Q168" s="49" t="s">
        <v>151</v>
      </c>
      <c r="R168" s="34">
        <f t="shared" ref="R168:X168" si="19">R6+R9+R10+R12+R14+R15+R16+R17+R18+R19+R20+R21+R22+R23+R24+R25+R26+R27+R28+R29+R30+R31+R32+R33+R34+R35+R36+R37+R38+R39+R40+R42+R43+R44+R46+R47+R50+R51+R52+R53+R55+R56+R57+R59</f>
        <v>0</v>
      </c>
      <c r="S168" s="34">
        <f t="shared" si="19"/>
        <v>0</v>
      </c>
      <c r="T168" s="34">
        <f t="shared" si="19"/>
        <v>126281481.15000001</v>
      </c>
      <c r="U168" s="34">
        <f t="shared" si="19"/>
        <v>126281481.15000001</v>
      </c>
      <c r="V168" s="34">
        <f t="shared" si="19"/>
        <v>126281481.15000001</v>
      </c>
      <c r="W168" s="34">
        <f t="shared" si="19"/>
        <v>126281481.15000001</v>
      </c>
      <c r="X168" s="34">
        <f t="shared" si="19"/>
        <v>126281481.15000001</v>
      </c>
    </row>
    <row r="169" spans="16:24" x14ac:dyDescent="0.3">
      <c r="P169" s="6"/>
      <c r="Q169" s="49" t="s">
        <v>152</v>
      </c>
      <c r="R169" s="34">
        <f t="shared" ref="R169:X169" si="20">S73+S74+S75+S78+S85+S86+S87+S88+S90+S92+S93+S94+S95</f>
        <v>0</v>
      </c>
      <c r="S169" s="34">
        <f t="shared" si="20"/>
        <v>0</v>
      </c>
      <c r="T169" s="34">
        <f t="shared" si="20"/>
        <v>66108714.400000006</v>
      </c>
      <c r="U169" s="34">
        <f t="shared" si="20"/>
        <v>66108714.400000006</v>
      </c>
      <c r="V169" s="34">
        <f t="shared" si="20"/>
        <v>66108714.400000006</v>
      </c>
      <c r="W169" s="34">
        <f t="shared" si="20"/>
        <v>66108714.400000006</v>
      </c>
      <c r="X169" s="34">
        <f t="shared" si="20"/>
        <v>66108714.400000006</v>
      </c>
    </row>
    <row r="170" spans="16:24" x14ac:dyDescent="0.3">
      <c r="P170" s="6" t="s">
        <v>160</v>
      </c>
      <c r="Q170" s="50" t="s">
        <v>151</v>
      </c>
      <c r="R170" s="6">
        <f t="shared" ref="R170:X170" si="21">R105</f>
        <v>0</v>
      </c>
      <c r="S170" s="6">
        <f t="shared" si="21"/>
        <v>0</v>
      </c>
      <c r="T170" s="34">
        <f t="shared" si="21"/>
        <v>881250</v>
      </c>
      <c r="U170" s="6">
        <f t="shared" si="21"/>
        <v>881250</v>
      </c>
      <c r="V170" s="6">
        <f t="shared" si="21"/>
        <v>881250</v>
      </c>
      <c r="W170" s="6">
        <f t="shared" si="21"/>
        <v>881250</v>
      </c>
      <c r="X170" s="6">
        <f t="shared" si="21"/>
        <v>881250</v>
      </c>
    </row>
    <row r="171" spans="16:24" x14ac:dyDescent="0.3">
      <c r="P171" s="6"/>
      <c r="Q171" s="50" t="s">
        <v>152</v>
      </c>
      <c r="R171" s="34">
        <f t="shared" ref="R171:X171" si="22">R110+R111+R112+R113+R114+R115+R116+R120</f>
        <v>0</v>
      </c>
      <c r="S171" s="34">
        <f t="shared" si="22"/>
        <v>0</v>
      </c>
      <c r="T171" s="34">
        <f t="shared" si="22"/>
        <v>20720219.800000001</v>
      </c>
      <c r="U171" s="34">
        <f t="shared" si="22"/>
        <v>20720219.800000001</v>
      </c>
      <c r="V171" s="34">
        <f t="shared" si="22"/>
        <v>20720219.800000001</v>
      </c>
      <c r="W171" s="34">
        <f t="shared" si="22"/>
        <v>20720219.800000001</v>
      </c>
      <c r="X171" s="34">
        <f t="shared" si="22"/>
        <v>20720219.800000001</v>
      </c>
    </row>
    <row r="172" spans="16:24" x14ac:dyDescent="0.3">
      <c r="P172" s="6" t="s">
        <v>161</v>
      </c>
      <c r="Q172" s="51" t="s">
        <v>151</v>
      </c>
      <c r="R172" s="6">
        <f>0</f>
        <v>0</v>
      </c>
      <c r="S172" s="6">
        <f>0</f>
        <v>0</v>
      </c>
      <c r="T172" s="6">
        <f>0</f>
        <v>0</v>
      </c>
      <c r="U172" s="6">
        <f>0</f>
        <v>0</v>
      </c>
      <c r="V172" s="6">
        <f>0</f>
        <v>0</v>
      </c>
      <c r="W172" s="6">
        <f>0</f>
        <v>0</v>
      </c>
      <c r="X172" s="6">
        <f>0</f>
        <v>0</v>
      </c>
    </row>
    <row r="173" spans="16:24" x14ac:dyDescent="0.3">
      <c r="P173" s="6"/>
      <c r="Q173" s="51" t="s">
        <v>152</v>
      </c>
      <c r="R173" s="34">
        <f>R127+R129+R130+R131</f>
        <v>0</v>
      </c>
      <c r="S173" s="34">
        <f t="shared" ref="S173:X173" si="23">S127+S129+S130+S131</f>
        <v>0</v>
      </c>
      <c r="T173" s="34">
        <f t="shared" si="23"/>
        <v>29819501.599999998</v>
      </c>
      <c r="U173" s="34">
        <f t="shared" si="23"/>
        <v>29819501.599999998</v>
      </c>
      <c r="V173" s="34">
        <f t="shared" si="23"/>
        <v>29819501.599999998</v>
      </c>
      <c r="W173" s="34">
        <f t="shared" si="23"/>
        <v>29819501.599999998</v>
      </c>
      <c r="X173" s="34">
        <f t="shared" si="23"/>
        <v>29819501.599999998</v>
      </c>
    </row>
    <row r="174" spans="16:24" x14ac:dyDescent="0.3">
      <c r="P174" s="6" t="s">
        <v>162</v>
      </c>
      <c r="Q174" s="6"/>
      <c r="R174" s="52">
        <f>SUM(R168:R173)</f>
        <v>0</v>
      </c>
      <c r="S174" s="52">
        <f t="shared" ref="S174:X174" si="24">SUM(S168:S173)</f>
        <v>0</v>
      </c>
      <c r="T174" s="52">
        <f t="shared" si="24"/>
        <v>243811166.95000002</v>
      </c>
      <c r="U174" s="52">
        <f t="shared" si="24"/>
        <v>243811166.95000002</v>
      </c>
      <c r="V174" s="52">
        <f t="shared" si="24"/>
        <v>243811166.95000002</v>
      </c>
      <c r="W174" s="52">
        <f t="shared" si="24"/>
        <v>243811166.95000002</v>
      </c>
      <c r="X174" s="52">
        <f t="shared" si="24"/>
        <v>243811166.95000002</v>
      </c>
    </row>
    <row r="176" spans="16:24" x14ac:dyDescent="0.3">
      <c r="P176" s="6" t="s">
        <v>163</v>
      </c>
      <c r="Q176" s="49" t="s">
        <v>151</v>
      </c>
      <c r="R176" s="34"/>
      <c r="S176" s="34"/>
      <c r="T176" s="34"/>
      <c r="U176" s="34"/>
      <c r="V176" s="34"/>
      <c r="W176" s="34"/>
      <c r="X176" s="34"/>
    </row>
    <row r="177" spans="16:24" x14ac:dyDescent="0.3">
      <c r="P177" s="6"/>
      <c r="Q177" s="49" t="s">
        <v>152</v>
      </c>
      <c r="R177" s="34"/>
      <c r="S177" s="34"/>
      <c r="T177" s="34"/>
      <c r="U177" s="34"/>
      <c r="V177" s="34"/>
      <c r="W177" s="34"/>
      <c r="X177" s="34"/>
    </row>
    <row r="178" spans="16:24" x14ac:dyDescent="0.3">
      <c r="P178" s="6" t="s">
        <v>164</v>
      </c>
      <c r="Q178" s="50" t="s">
        <v>151</v>
      </c>
      <c r="R178" s="34">
        <f t="shared" ref="R178:X178" si="25">R106+R118/2</f>
        <v>6545000</v>
      </c>
      <c r="S178" s="34">
        <f t="shared" si="25"/>
        <v>3360809.0349999997</v>
      </c>
      <c r="T178" s="34">
        <f t="shared" si="25"/>
        <v>0</v>
      </c>
      <c r="U178" s="34">
        <f t="shared" si="25"/>
        <v>0</v>
      </c>
      <c r="V178" s="34">
        <f t="shared" si="25"/>
        <v>0</v>
      </c>
      <c r="W178" s="34">
        <f t="shared" si="25"/>
        <v>0</v>
      </c>
      <c r="X178" s="34">
        <f t="shared" si="25"/>
        <v>0</v>
      </c>
    </row>
    <row r="179" spans="16:24" x14ac:dyDescent="0.3">
      <c r="P179" s="6"/>
      <c r="Q179" s="50" t="s">
        <v>152</v>
      </c>
      <c r="R179" s="34">
        <f>R118/2</f>
        <v>1275000</v>
      </c>
      <c r="S179" s="34">
        <f t="shared" ref="S179:X179" si="26">S118/2</f>
        <v>723745.23499999999</v>
      </c>
      <c r="T179" s="34">
        <f t="shared" si="26"/>
        <v>0</v>
      </c>
      <c r="U179" s="34">
        <f t="shared" si="26"/>
        <v>0</v>
      </c>
      <c r="V179" s="34">
        <f t="shared" si="26"/>
        <v>0</v>
      </c>
      <c r="W179" s="34">
        <f t="shared" si="26"/>
        <v>0</v>
      </c>
      <c r="X179" s="34">
        <f t="shared" si="26"/>
        <v>0</v>
      </c>
    </row>
    <row r="180" spans="16:24" x14ac:dyDescent="0.3">
      <c r="P180" s="6" t="s">
        <v>165</v>
      </c>
      <c r="Q180" s="51" t="s">
        <v>151</v>
      </c>
      <c r="R180" s="6"/>
      <c r="S180" s="6"/>
      <c r="T180" s="6"/>
      <c r="U180" s="6"/>
      <c r="V180" s="6"/>
      <c r="W180" s="6"/>
      <c r="X180" s="6"/>
    </row>
    <row r="181" spans="16:24" x14ac:dyDescent="0.3">
      <c r="P181" s="6"/>
      <c r="Q181" s="51" t="s">
        <v>152</v>
      </c>
      <c r="R181" s="34"/>
      <c r="S181" s="34"/>
      <c r="T181" s="34"/>
      <c r="U181" s="34"/>
      <c r="V181" s="34"/>
      <c r="W181" s="34"/>
      <c r="X181" s="34"/>
    </row>
    <row r="182" spans="16:24" x14ac:dyDescent="0.3">
      <c r="P182" s="6" t="s">
        <v>166</v>
      </c>
      <c r="Q182" s="6"/>
      <c r="R182" s="52">
        <f>SUM(R176:R181)</f>
        <v>7820000</v>
      </c>
      <c r="S182" s="52">
        <f t="shared" ref="S182:X182" si="27">SUM(S176:S181)</f>
        <v>4084554.2699999996</v>
      </c>
      <c r="T182" s="52">
        <f t="shared" si="27"/>
        <v>0</v>
      </c>
      <c r="U182" s="52">
        <f t="shared" si="27"/>
        <v>0</v>
      </c>
      <c r="V182" s="52">
        <f t="shared" si="27"/>
        <v>0</v>
      </c>
      <c r="W182" s="52">
        <f t="shared" si="27"/>
        <v>0</v>
      </c>
      <c r="X182" s="52">
        <f t="shared" si="27"/>
        <v>0</v>
      </c>
    </row>
    <row r="184" spans="16:24" x14ac:dyDescent="0.3">
      <c r="P184" s="6" t="s">
        <v>167</v>
      </c>
      <c r="Q184" s="49" t="s">
        <v>151</v>
      </c>
      <c r="R184" s="34"/>
      <c r="S184" s="34"/>
      <c r="T184" s="34"/>
      <c r="U184" s="34"/>
      <c r="V184" s="34"/>
      <c r="W184" s="34"/>
      <c r="X184" s="34"/>
    </row>
    <row r="185" spans="16:24" x14ac:dyDescent="0.3">
      <c r="P185" s="6"/>
      <c r="Q185" s="49" t="s">
        <v>152</v>
      </c>
      <c r="R185" s="34"/>
      <c r="S185" s="34"/>
      <c r="T185" s="34"/>
      <c r="U185" s="34"/>
      <c r="V185" s="34"/>
      <c r="W185" s="34"/>
      <c r="X185" s="34"/>
    </row>
    <row r="186" spans="16:24" x14ac:dyDescent="0.3">
      <c r="P186" s="6" t="s">
        <v>168</v>
      </c>
      <c r="Q186" s="50" t="s">
        <v>151</v>
      </c>
      <c r="R186" s="34">
        <f>R107+R119/2</f>
        <v>1031000</v>
      </c>
      <c r="S186" s="34">
        <f t="shared" ref="S186:X186" si="28">S107+S119/2</f>
        <v>531035.38500000001</v>
      </c>
      <c r="T186" s="34">
        <f t="shared" si="28"/>
        <v>0</v>
      </c>
      <c r="U186" s="34">
        <f t="shared" si="28"/>
        <v>0</v>
      </c>
      <c r="V186" s="34">
        <f t="shared" si="28"/>
        <v>0</v>
      </c>
      <c r="W186" s="34">
        <f t="shared" si="28"/>
        <v>0</v>
      </c>
      <c r="X186" s="34">
        <f t="shared" si="28"/>
        <v>0</v>
      </c>
    </row>
    <row r="187" spans="16:24" x14ac:dyDescent="0.3">
      <c r="P187" s="6"/>
      <c r="Q187" s="50" t="s">
        <v>152</v>
      </c>
      <c r="R187" s="34">
        <f>R119/2</f>
        <v>225000</v>
      </c>
      <c r="S187" s="34">
        <f t="shared" ref="S187:X187" si="29">S119/2</f>
        <v>127719.745</v>
      </c>
      <c r="T187" s="34">
        <f t="shared" si="29"/>
        <v>0</v>
      </c>
      <c r="U187" s="34">
        <f t="shared" si="29"/>
        <v>0</v>
      </c>
      <c r="V187" s="34">
        <f t="shared" si="29"/>
        <v>0</v>
      </c>
      <c r="W187" s="34">
        <f t="shared" si="29"/>
        <v>0</v>
      </c>
      <c r="X187" s="34">
        <f t="shared" si="29"/>
        <v>0</v>
      </c>
    </row>
    <row r="188" spans="16:24" x14ac:dyDescent="0.3">
      <c r="P188" s="6" t="s">
        <v>169</v>
      </c>
      <c r="Q188" s="51" t="s">
        <v>151</v>
      </c>
      <c r="R188" s="6"/>
      <c r="S188" s="6"/>
      <c r="T188" s="6"/>
      <c r="U188" s="6"/>
      <c r="V188" s="6"/>
      <c r="W188" s="6"/>
      <c r="X188" s="6"/>
    </row>
    <row r="189" spans="16:24" x14ac:dyDescent="0.3">
      <c r="P189" s="6"/>
      <c r="Q189" s="51" t="s">
        <v>152</v>
      </c>
      <c r="R189" s="34"/>
      <c r="S189" s="34"/>
      <c r="T189" s="34"/>
      <c r="U189" s="34"/>
      <c r="V189" s="34"/>
      <c r="W189" s="34"/>
      <c r="X189" s="34"/>
    </row>
    <row r="190" spans="16:24" x14ac:dyDescent="0.3">
      <c r="P190" s="6" t="s">
        <v>170</v>
      </c>
      <c r="Q190" s="6"/>
      <c r="R190" s="52">
        <f>SUM(R184:R189)</f>
        <v>1256000</v>
      </c>
      <c r="S190" s="52">
        <f t="shared" ref="S190:X190" si="30">SUM(S184:S189)</f>
        <v>658755.13</v>
      </c>
      <c r="T190" s="52">
        <f t="shared" si="30"/>
        <v>0</v>
      </c>
      <c r="U190" s="52">
        <f t="shared" si="30"/>
        <v>0</v>
      </c>
      <c r="V190" s="52">
        <f t="shared" si="30"/>
        <v>0</v>
      </c>
      <c r="W190" s="52">
        <f t="shared" si="30"/>
        <v>0</v>
      </c>
      <c r="X190" s="52">
        <f t="shared" si="30"/>
        <v>0</v>
      </c>
    </row>
    <row r="192" spans="16:24" x14ac:dyDescent="0.3">
      <c r="P192" s="6" t="s">
        <v>171</v>
      </c>
      <c r="Q192" s="49" t="s">
        <v>151</v>
      </c>
      <c r="R192" s="34"/>
      <c r="S192" s="34"/>
      <c r="T192" s="34"/>
      <c r="U192" s="34"/>
      <c r="V192" s="34"/>
      <c r="W192" s="34"/>
      <c r="X192" s="34"/>
    </row>
    <row r="193" spans="16:24" x14ac:dyDescent="0.3">
      <c r="P193" s="6"/>
      <c r="Q193" s="49" t="s">
        <v>152</v>
      </c>
      <c r="R193" s="34"/>
      <c r="S193" s="34"/>
      <c r="T193" s="34"/>
      <c r="U193" s="34"/>
      <c r="V193" s="34"/>
      <c r="W193" s="34"/>
      <c r="X193" s="34"/>
    </row>
    <row r="194" spans="16:24" x14ac:dyDescent="0.3">
      <c r="P194" s="6" t="s">
        <v>172</v>
      </c>
      <c r="Q194" s="50" t="s">
        <v>151</v>
      </c>
      <c r="R194" s="34">
        <f>R108</f>
        <v>124000</v>
      </c>
      <c r="S194" s="34">
        <f t="shared" ref="S194:X194" si="31">S108</f>
        <v>62048.56</v>
      </c>
      <c r="T194" s="34">
        <f t="shared" si="31"/>
        <v>0</v>
      </c>
      <c r="U194" s="34">
        <f t="shared" si="31"/>
        <v>0</v>
      </c>
      <c r="V194" s="34">
        <f t="shared" si="31"/>
        <v>0</v>
      </c>
      <c r="W194" s="34">
        <f t="shared" si="31"/>
        <v>0</v>
      </c>
      <c r="X194" s="34">
        <f t="shared" si="31"/>
        <v>0</v>
      </c>
    </row>
    <row r="195" spans="16:24" x14ac:dyDescent="0.3">
      <c r="P195" s="6"/>
      <c r="Q195" s="50" t="s">
        <v>152</v>
      </c>
      <c r="R195" s="34"/>
      <c r="S195" s="34"/>
      <c r="T195" s="34"/>
      <c r="U195" s="34"/>
      <c r="V195" s="34"/>
      <c r="W195" s="34"/>
      <c r="X195" s="34"/>
    </row>
    <row r="196" spans="16:24" x14ac:dyDescent="0.3">
      <c r="P196" s="6" t="s">
        <v>173</v>
      </c>
      <c r="Q196" s="51" t="s">
        <v>151</v>
      </c>
      <c r="R196" s="6"/>
      <c r="S196" s="6"/>
      <c r="T196" s="6"/>
      <c r="U196" s="6"/>
      <c r="V196" s="6"/>
      <c r="W196" s="6"/>
      <c r="X196" s="6"/>
    </row>
    <row r="197" spans="16:24" x14ac:dyDescent="0.3">
      <c r="P197" s="6"/>
      <c r="Q197" s="51" t="s">
        <v>152</v>
      </c>
      <c r="R197" s="34"/>
      <c r="S197" s="34"/>
      <c r="T197" s="34"/>
      <c r="U197" s="34"/>
      <c r="V197" s="34"/>
      <c r="W197" s="34"/>
      <c r="X197" s="34"/>
    </row>
    <row r="198" spans="16:24" x14ac:dyDescent="0.3">
      <c r="P198" s="6" t="s">
        <v>174</v>
      </c>
      <c r="Q198" s="6"/>
      <c r="R198" s="52">
        <f>SUM(R192:R197)</f>
        <v>124000</v>
      </c>
      <c r="S198" s="52">
        <f t="shared" ref="S198:X198" si="32">SUM(S192:S197)</f>
        <v>62048.56</v>
      </c>
      <c r="T198" s="52">
        <f t="shared" si="32"/>
        <v>0</v>
      </c>
      <c r="U198" s="52">
        <f t="shared" si="32"/>
        <v>0</v>
      </c>
      <c r="V198" s="52">
        <f t="shared" si="32"/>
        <v>0</v>
      </c>
      <c r="W198" s="52">
        <f t="shared" si="32"/>
        <v>0</v>
      </c>
      <c r="X198" s="52">
        <f t="shared" si="32"/>
        <v>0</v>
      </c>
    </row>
    <row r="199" spans="16:24" x14ac:dyDescent="0.3">
      <c r="R199" s="27">
        <f>R158+R166+R174+R182+R190+R198</f>
        <v>27958065</v>
      </c>
    </row>
    <row r="202" spans="16:24" x14ac:dyDescent="0.3">
      <c r="R202" s="27">
        <f>R64+S97+R121+R134</f>
        <v>27958065</v>
      </c>
      <c r="S202" s="27">
        <f t="shared" ref="S202:X202" si="33">S64+T97+S121+S134</f>
        <v>24855341.280000001</v>
      </c>
      <c r="T202" s="27">
        <f t="shared" si="33"/>
        <v>263806166.95000002</v>
      </c>
      <c r="U202" s="27">
        <f t="shared" si="33"/>
        <v>264316166.95000005</v>
      </c>
      <c r="V202" s="27">
        <f t="shared" si="33"/>
        <v>264776166.95000005</v>
      </c>
      <c r="W202" s="27">
        <f t="shared" si="33"/>
        <v>244311166.95000002</v>
      </c>
      <c r="X202" s="27">
        <f t="shared" si="33"/>
        <v>244311166.95000002</v>
      </c>
    </row>
  </sheetData>
  <mergeCells count="157">
    <mergeCell ref="B1:N1"/>
    <mergeCell ref="B4:B5"/>
    <mergeCell ref="C4:K4"/>
    <mergeCell ref="L4:P4"/>
    <mergeCell ref="R4:V4"/>
    <mergeCell ref="B6:B9"/>
    <mergeCell ref="C6:C9"/>
    <mergeCell ref="B18:B19"/>
    <mergeCell ref="C18:C19"/>
    <mergeCell ref="B20:B21"/>
    <mergeCell ref="C20:C21"/>
    <mergeCell ref="B23:B24"/>
    <mergeCell ref="C23:C24"/>
    <mergeCell ref="B10:B13"/>
    <mergeCell ref="C10:C13"/>
    <mergeCell ref="B14:B15"/>
    <mergeCell ref="C14:C15"/>
    <mergeCell ref="B16:B17"/>
    <mergeCell ref="C16:C17"/>
    <mergeCell ref="B31:B32"/>
    <mergeCell ref="C31:C32"/>
    <mergeCell ref="B33:B34"/>
    <mergeCell ref="C33:C34"/>
    <mergeCell ref="B35:B36"/>
    <mergeCell ref="C35:C36"/>
    <mergeCell ref="B25:B26"/>
    <mergeCell ref="C25:C26"/>
    <mergeCell ref="B27:B28"/>
    <mergeCell ref="C27:C28"/>
    <mergeCell ref="B29:B30"/>
    <mergeCell ref="C29:C30"/>
    <mergeCell ref="B46:B48"/>
    <mergeCell ref="C46:C48"/>
    <mergeCell ref="B49:B51"/>
    <mergeCell ref="C49:C51"/>
    <mergeCell ref="B52:B54"/>
    <mergeCell ref="C52:C54"/>
    <mergeCell ref="B37:B38"/>
    <mergeCell ref="C37:C38"/>
    <mergeCell ref="B39:B40"/>
    <mergeCell ref="C39:C40"/>
    <mergeCell ref="B41:B43"/>
    <mergeCell ref="C41:C43"/>
    <mergeCell ref="B64:E64"/>
    <mergeCell ref="B65:J65"/>
    <mergeCell ref="B70:K70"/>
    <mergeCell ref="B71:B72"/>
    <mergeCell ref="C71:L71"/>
    <mergeCell ref="M71:Q71"/>
    <mergeCell ref="B55:B56"/>
    <mergeCell ref="C55:C56"/>
    <mergeCell ref="B57:B58"/>
    <mergeCell ref="C57:C58"/>
    <mergeCell ref="B59:B61"/>
    <mergeCell ref="C59:C61"/>
    <mergeCell ref="J81:J82"/>
    <mergeCell ref="B83:B84"/>
    <mergeCell ref="C83:C84"/>
    <mergeCell ref="D83:D84"/>
    <mergeCell ref="J83:J84"/>
    <mergeCell ref="S71:W71"/>
    <mergeCell ref="B74:B77"/>
    <mergeCell ref="C74:C77"/>
    <mergeCell ref="D74:D77"/>
    <mergeCell ref="J76:J77"/>
    <mergeCell ref="B78:B80"/>
    <mergeCell ref="C78:C80"/>
    <mergeCell ref="D78:D80"/>
    <mergeCell ref="J79:J80"/>
    <mergeCell ref="B85:B86"/>
    <mergeCell ref="C85:C86"/>
    <mergeCell ref="D85:D86"/>
    <mergeCell ref="B87:B88"/>
    <mergeCell ref="C87:C88"/>
    <mergeCell ref="D87:D88"/>
    <mergeCell ref="B81:B82"/>
    <mergeCell ref="C81:C82"/>
    <mergeCell ref="D81:D82"/>
    <mergeCell ref="B102:B103"/>
    <mergeCell ref="C102:K102"/>
    <mergeCell ref="L102:P102"/>
    <mergeCell ref="R102:V102"/>
    <mergeCell ref="F103:G103"/>
    <mergeCell ref="H103:I103"/>
    <mergeCell ref="K103:L103"/>
    <mergeCell ref="B89:B90"/>
    <mergeCell ref="C89:C90"/>
    <mergeCell ref="D89:D90"/>
    <mergeCell ref="B97:G97"/>
    <mergeCell ref="C98:K98"/>
    <mergeCell ref="B100:K100"/>
    <mergeCell ref="F106:G108"/>
    <mergeCell ref="H106:I108"/>
    <mergeCell ref="J106:J108"/>
    <mergeCell ref="K106:L106"/>
    <mergeCell ref="K107:L107"/>
    <mergeCell ref="K108:L108"/>
    <mergeCell ref="B104:B110"/>
    <mergeCell ref="C104:C110"/>
    <mergeCell ref="F104:G104"/>
    <mergeCell ref="H104:I104"/>
    <mergeCell ref="K104:L104"/>
    <mergeCell ref="F105:G105"/>
    <mergeCell ref="H105:I105"/>
    <mergeCell ref="K105:L105"/>
    <mergeCell ref="D106:D108"/>
    <mergeCell ref="E106:E108"/>
    <mergeCell ref="F111:G111"/>
    <mergeCell ref="H111:I111"/>
    <mergeCell ref="K111:L111"/>
    <mergeCell ref="F112:G112"/>
    <mergeCell ref="H112:I112"/>
    <mergeCell ref="K112:L112"/>
    <mergeCell ref="F109:G109"/>
    <mergeCell ref="H109:I109"/>
    <mergeCell ref="K109:L109"/>
    <mergeCell ref="F110:G110"/>
    <mergeCell ref="H110:I110"/>
    <mergeCell ref="K110:L110"/>
    <mergeCell ref="F115:G115"/>
    <mergeCell ref="H115:I115"/>
    <mergeCell ref="K115:L115"/>
    <mergeCell ref="F116:G116"/>
    <mergeCell ref="H116:I116"/>
    <mergeCell ref="K116:L116"/>
    <mergeCell ref="F113:G113"/>
    <mergeCell ref="H113:I113"/>
    <mergeCell ref="K113:L113"/>
    <mergeCell ref="F114:G114"/>
    <mergeCell ref="H114:I114"/>
    <mergeCell ref="K114:L114"/>
    <mergeCell ref="K118:L118"/>
    <mergeCell ref="K119:L119"/>
    <mergeCell ref="F120:G120"/>
    <mergeCell ref="H120:I120"/>
    <mergeCell ref="K120:L120"/>
    <mergeCell ref="F121:G121"/>
    <mergeCell ref="K121:L121"/>
    <mergeCell ref="B117:B120"/>
    <mergeCell ref="C117:C120"/>
    <mergeCell ref="F117:G117"/>
    <mergeCell ref="H117:I117"/>
    <mergeCell ref="K117:L117"/>
    <mergeCell ref="D118:D119"/>
    <mergeCell ref="E118:E119"/>
    <mergeCell ref="F118:G119"/>
    <mergeCell ref="H118:I119"/>
    <mergeCell ref="J118:J119"/>
    <mergeCell ref="C134:E134"/>
    <mergeCell ref="C137:L137"/>
    <mergeCell ref="B123:K123"/>
    <mergeCell ref="B124:B125"/>
    <mergeCell ref="C124:K124"/>
    <mergeCell ref="L124:P124"/>
    <mergeCell ref="R124:V124"/>
    <mergeCell ref="B127:B128"/>
    <mergeCell ref="C127:C128"/>
  </mergeCells>
  <pageMargins left="0" right="0" top="0.74803149606299213" bottom="0.35433070866141736" header="0.31496062992125984" footer="0"/>
  <pageSetup paperSize="8" scale="53"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927F9-E578-4760-AD50-164D7C5F527B}">
  <dimension ref="B1:V43"/>
  <sheetViews>
    <sheetView topLeftCell="C1" zoomScale="110" zoomScaleNormal="110" workbookViewId="0">
      <pane xSplit="4" ySplit="4" topLeftCell="G5" activePane="bottomRight" state="frozen"/>
      <selection activeCell="B123" sqref="B123:K123"/>
      <selection pane="topRight" activeCell="B123" sqref="B123:K123"/>
      <selection pane="bottomLeft" activeCell="B123" sqref="B123:K123"/>
      <selection pane="bottomRight" activeCell="D1" sqref="D1:P1"/>
    </sheetView>
  </sheetViews>
  <sheetFormatPr defaultRowHeight="14.4" x14ac:dyDescent="0.3"/>
  <cols>
    <col min="3" max="3" width="20" customWidth="1"/>
    <col min="4" max="4" width="46" customWidth="1"/>
    <col min="5" max="5" width="14.6640625" customWidth="1"/>
    <col min="6" max="6" width="13.6640625" customWidth="1"/>
    <col min="7" max="7" width="14.5546875" customWidth="1"/>
    <col min="8" max="8" width="13.5546875" customWidth="1"/>
    <col min="9" max="9" width="14.44140625" customWidth="1"/>
    <col min="10" max="10" width="12.5546875" customWidth="1"/>
    <col min="12" max="12" width="12.33203125" customWidth="1"/>
    <col min="14" max="14" width="11.33203125" customWidth="1"/>
    <col min="17" max="17" width="16.6640625" customWidth="1"/>
    <col min="18" max="18" width="11.6640625" customWidth="1"/>
    <col min="19" max="19" width="12.33203125" customWidth="1"/>
    <col min="20" max="20" width="13.44140625" customWidth="1"/>
    <col min="21" max="21" width="12.5546875" customWidth="1"/>
    <col min="22" max="22" width="9.6640625" bestFit="1" customWidth="1"/>
    <col min="259" max="259" width="20" customWidth="1"/>
    <col min="260" max="260" width="46" customWidth="1"/>
    <col min="261" max="261" width="14.6640625" customWidth="1"/>
    <col min="262" max="262" width="13.6640625" customWidth="1"/>
    <col min="263" max="263" width="14.5546875" customWidth="1"/>
    <col min="264" max="264" width="13.5546875" customWidth="1"/>
    <col min="265" max="265" width="14.44140625" customWidth="1"/>
    <col min="266" max="266" width="12.5546875" customWidth="1"/>
    <col min="268" max="268" width="12.33203125" customWidth="1"/>
    <col min="270" max="270" width="11.33203125" customWidth="1"/>
    <col min="273" max="273" width="16.6640625" customWidth="1"/>
    <col min="274" max="274" width="11.6640625" customWidth="1"/>
    <col min="275" max="275" width="12.33203125" customWidth="1"/>
    <col min="276" max="276" width="13.44140625" customWidth="1"/>
    <col min="277" max="277" width="12.5546875" customWidth="1"/>
    <col min="278" max="278" width="9.6640625" bestFit="1" customWidth="1"/>
    <col min="515" max="515" width="20" customWidth="1"/>
    <col min="516" max="516" width="46" customWidth="1"/>
    <col min="517" max="517" width="14.6640625" customWidth="1"/>
    <col min="518" max="518" width="13.6640625" customWidth="1"/>
    <col min="519" max="519" width="14.5546875" customWidth="1"/>
    <col min="520" max="520" width="13.5546875" customWidth="1"/>
    <col min="521" max="521" width="14.44140625" customWidth="1"/>
    <col min="522" max="522" width="12.5546875" customWidth="1"/>
    <col min="524" max="524" width="12.33203125" customWidth="1"/>
    <col min="526" max="526" width="11.33203125" customWidth="1"/>
    <col min="529" max="529" width="16.6640625" customWidth="1"/>
    <col min="530" max="530" width="11.6640625" customWidth="1"/>
    <col min="531" max="531" width="12.33203125" customWidth="1"/>
    <col min="532" max="532" width="13.44140625" customWidth="1"/>
    <col min="533" max="533" width="12.5546875" customWidth="1"/>
    <col min="534" max="534" width="9.6640625" bestFit="1" customWidth="1"/>
    <col min="771" max="771" width="20" customWidth="1"/>
    <col min="772" max="772" width="46" customWidth="1"/>
    <col min="773" max="773" width="14.6640625" customWidth="1"/>
    <col min="774" max="774" width="13.6640625" customWidth="1"/>
    <col min="775" max="775" width="14.5546875" customWidth="1"/>
    <col min="776" max="776" width="13.5546875" customWidth="1"/>
    <col min="777" max="777" width="14.44140625" customWidth="1"/>
    <col min="778" max="778" width="12.5546875" customWidth="1"/>
    <col min="780" max="780" width="12.33203125" customWidth="1"/>
    <col min="782" max="782" width="11.33203125" customWidth="1"/>
    <col min="785" max="785" width="16.6640625" customWidth="1"/>
    <col min="786" max="786" width="11.6640625" customWidth="1"/>
    <col min="787" max="787" width="12.33203125" customWidth="1"/>
    <col min="788" max="788" width="13.44140625" customWidth="1"/>
    <col min="789" max="789" width="12.5546875" customWidth="1"/>
    <col min="790" max="790" width="9.6640625" bestFit="1" customWidth="1"/>
    <col min="1027" max="1027" width="20" customWidth="1"/>
    <col min="1028" max="1028" width="46" customWidth="1"/>
    <col min="1029" max="1029" width="14.6640625" customWidth="1"/>
    <col min="1030" max="1030" width="13.6640625" customWidth="1"/>
    <col min="1031" max="1031" width="14.5546875" customWidth="1"/>
    <col min="1032" max="1032" width="13.5546875" customWidth="1"/>
    <col min="1033" max="1033" width="14.44140625" customWidth="1"/>
    <col min="1034" max="1034" width="12.5546875" customWidth="1"/>
    <col min="1036" max="1036" width="12.33203125" customWidth="1"/>
    <col min="1038" max="1038" width="11.33203125" customWidth="1"/>
    <col min="1041" max="1041" width="16.6640625" customWidth="1"/>
    <col min="1042" max="1042" width="11.6640625" customWidth="1"/>
    <col min="1043" max="1043" width="12.33203125" customWidth="1"/>
    <col min="1044" max="1044" width="13.44140625" customWidth="1"/>
    <col min="1045" max="1045" width="12.5546875" customWidth="1"/>
    <col min="1046" max="1046" width="9.6640625" bestFit="1" customWidth="1"/>
    <col min="1283" max="1283" width="20" customWidth="1"/>
    <col min="1284" max="1284" width="46" customWidth="1"/>
    <col min="1285" max="1285" width="14.6640625" customWidth="1"/>
    <col min="1286" max="1286" width="13.6640625" customWidth="1"/>
    <col min="1287" max="1287" width="14.5546875" customWidth="1"/>
    <col min="1288" max="1288" width="13.5546875" customWidth="1"/>
    <col min="1289" max="1289" width="14.44140625" customWidth="1"/>
    <col min="1290" max="1290" width="12.5546875" customWidth="1"/>
    <col min="1292" max="1292" width="12.33203125" customWidth="1"/>
    <col min="1294" max="1294" width="11.33203125" customWidth="1"/>
    <col min="1297" max="1297" width="16.6640625" customWidth="1"/>
    <col min="1298" max="1298" width="11.6640625" customWidth="1"/>
    <col min="1299" max="1299" width="12.33203125" customWidth="1"/>
    <col min="1300" max="1300" width="13.44140625" customWidth="1"/>
    <col min="1301" max="1301" width="12.5546875" customWidth="1"/>
    <col min="1302" max="1302" width="9.6640625" bestFit="1" customWidth="1"/>
    <col min="1539" max="1539" width="20" customWidth="1"/>
    <col min="1540" max="1540" width="46" customWidth="1"/>
    <col min="1541" max="1541" width="14.6640625" customWidth="1"/>
    <col min="1542" max="1542" width="13.6640625" customWidth="1"/>
    <col min="1543" max="1543" width="14.5546875" customWidth="1"/>
    <col min="1544" max="1544" width="13.5546875" customWidth="1"/>
    <col min="1545" max="1545" width="14.44140625" customWidth="1"/>
    <col min="1546" max="1546" width="12.5546875" customWidth="1"/>
    <col min="1548" max="1548" width="12.33203125" customWidth="1"/>
    <col min="1550" max="1550" width="11.33203125" customWidth="1"/>
    <col min="1553" max="1553" width="16.6640625" customWidth="1"/>
    <col min="1554" max="1554" width="11.6640625" customWidth="1"/>
    <col min="1555" max="1555" width="12.33203125" customWidth="1"/>
    <col min="1556" max="1556" width="13.44140625" customWidth="1"/>
    <col min="1557" max="1557" width="12.5546875" customWidth="1"/>
    <col min="1558" max="1558" width="9.6640625" bestFit="1" customWidth="1"/>
    <col min="1795" max="1795" width="20" customWidth="1"/>
    <col min="1796" max="1796" width="46" customWidth="1"/>
    <col min="1797" max="1797" width="14.6640625" customWidth="1"/>
    <col min="1798" max="1798" width="13.6640625" customWidth="1"/>
    <col min="1799" max="1799" width="14.5546875" customWidth="1"/>
    <col min="1800" max="1800" width="13.5546875" customWidth="1"/>
    <col min="1801" max="1801" width="14.44140625" customWidth="1"/>
    <col min="1802" max="1802" width="12.5546875" customWidth="1"/>
    <col min="1804" max="1804" width="12.33203125" customWidth="1"/>
    <col min="1806" max="1806" width="11.33203125" customWidth="1"/>
    <col min="1809" max="1809" width="16.6640625" customWidth="1"/>
    <col min="1810" max="1810" width="11.6640625" customWidth="1"/>
    <col min="1811" max="1811" width="12.33203125" customWidth="1"/>
    <col min="1812" max="1812" width="13.44140625" customWidth="1"/>
    <col min="1813" max="1813" width="12.5546875" customWidth="1"/>
    <col min="1814" max="1814" width="9.6640625" bestFit="1" customWidth="1"/>
    <col min="2051" max="2051" width="20" customWidth="1"/>
    <col min="2052" max="2052" width="46" customWidth="1"/>
    <col min="2053" max="2053" width="14.6640625" customWidth="1"/>
    <col min="2054" max="2054" width="13.6640625" customWidth="1"/>
    <col min="2055" max="2055" width="14.5546875" customWidth="1"/>
    <col min="2056" max="2056" width="13.5546875" customWidth="1"/>
    <col min="2057" max="2057" width="14.44140625" customWidth="1"/>
    <col min="2058" max="2058" width="12.5546875" customWidth="1"/>
    <col min="2060" max="2060" width="12.33203125" customWidth="1"/>
    <col min="2062" max="2062" width="11.33203125" customWidth="1"/>
    <col min="2065" max="2065" width="16.6640625" customWidth="1"/>
    <col min="2066" max="2066" width="11.6640625" customWidth="1"/>
    <col min="2067" max="2067" width="12.33203125" customWidth="1"/>
    <col min="2068" max="2068" width="13.44140625" customWidth="1"/>
    <col min="2069" max="2069" width="12.5546875" customWidth="1"/>
    <col min="2070" max="2070" width="9.6640625" bestFit="1" customWidth="1"/>
    <col min="2307" max="2307" width="20" customWidth="1"/>
    <col min="2308" max="2308" width="46" customWidth="1"/>
    <col min="2309" max="2309" width="14.6640625" customWidth="1"/>
    <col min="2310" max="2310" width="13.6640625" customWidth="1"/>
    <col min="2311" max="2311" width="14.5546875" customWidth="1"/>
    <col min="2312" max="2312" width="13.5546875" customWidth="1"/>
    <col min="2313" max="2313" width="14.44140625" customWidth="1"/>
    <col min="2314" max="2314" width="12.5546875" customWidth="1"/>
    <col min="2316" max="2316" width="12.33203125" customWidth="1"/>
    <col min="2318" max="2318" width="11.33203125" customWidth="1"/>
    <col min="2321" max="2321" width="16.6640625" customWidth="1"/>
    <col min="2322" max="2322" width="11.6640625" customWidth="1"/>
    <col min="2323" max="2323" width="12.33203125" customWidth="1"/>
    <col min="2324" max="2324" width="13.44140625" customWidth="1"/>
    <col min="2325" max="2325" width="12.5546875" customWidth="1"/>
    <col min="2326" max="2326" width="9.6640625" bestFit="1" customWidth="1"/>
    <col min="2563" max="2563" width="20" customWidth="1"/>
    <col min="2564" max="2564" width="46" customWidth="1"/>
    <col min="2565" max="2565" width="14.6640625" customWidth="1"/>
    <col min="2566" max="2566" width="13.6640625" customWidth="1"/>
    <col min="2567" max="2567" width="14.5546875" customWidth="1"/>
    <col min="2568" max="2568" width="13.5546875" customWidth="1"/>
    <col min="2569" max="2569" width="14.44140625" customWidth="1"/>
    <col min="2570" max="2570" width="12.5546875" customWidth="1"/>
    <col min="2572" max="2572" width="12.33203125" customWidth="1"/>
    <col min="2574" max="2574" width="11.33203125" customWidth="1"/>
    <col min="2577" max="2577" width="16.6640625" customWidth="1"/>
    <col min="2578" max="2578" width="11.6640625" customWidth="1"/>
    <col min="2579" max="2579" width="12.33203125" customWidth="1"/>
    <col min="2580" max="2580" width="13.44140625" customWidth="1"/>
    <col min="2581" max="2581" width="12.5546875" customWidth="1"/>
    <col min="2582" max="2582" width="9.6640625" bestFit="1" customWidth="1"/>
    <col min="2819" max="2819" width="20" customWidth="1"/>
    <col min="2820" max="2820" width="46" customWidth="1"/>
    <col min="2821" max="2821" width="14.6640625" customWidth="1"/>
    <col min="2822" max="2822" width="13.6640625" customWidth="1"/>
    <col min="2823" max="2823" width="14.5546875" customWidth="1"/>
    <col min="2824" max="2824" width="13.5546875" customWidth="1"/>
    <col min="2825" max="2825" width="14.44140625" customWidth="1"/>
    <col min="2826" max="2826" width="12.5546875" customWidth="1"/>
    <col min="2828" max="2828" width="12.33203125" customWidth="1"/>
    <col min="2830" max="2830" width="11.33203125" customWidth="1"/>
    <col min="2833" max="2833" width="16.6640625" customWidth="1"/>
    <col min="2834" max="2834" width="11.6640625" customWidth="1"/>
    <col min="2835" max="2835" width="12.33203125" customWidth="1"/>
    <col min="2836" max="2836" width="13.44140625" customWidth="1"/>
    <col min="2837" max="2837" width="12.5546875" customWidth="1"/>
    <col min="2838" max="2838" width="9.6640625" bestFit="1" customWidth="1"/>
    <col min="3075" max="3075" width="20" customWidth="1"/>
    <col min="3076" max="3076" width="46" customWidth="1"/>
    <col min="3077" max="3077" width="14.6640625" customWidth="1"/>
    <col min="3078" max="3078" width="13.6640625" customWidth="1"/>
    <col min="3079" max="3079" width="14.5546875" customWidth="1"/>
    <col min="3080" max="3080" width="13.5546875" customWidth="1"/>
    <col min="3081" max="3081" width="14.44140625" customWidth="1"/>
    <col min="3082" max="3082" width="12.5546875" customWidth="1"/>
    <col min="3084" max="3084" width="12.33203125" customWidth="1"/>
    <col min="3086" max="3086" width="11.33203125" customWidth="1"/>
    <col min="3089" max="3089" width="16.6640625" customWidth="1"/>
    <col min="3090" max="3090" width="11.6640625" customWidth="1"/>
    <col min="3091" max="3091" width="12.33203125" customWidth="1"/>
    <col min="3092" max="3092" width="13.44140625" customWidth="1"/>
    <col min="3093" max="3093" width="12.5546875" customWidth="1"/>
    <col min="3094" max="3094" width="9.6640625" bestFit="1" customWidth="1"/>
    <col min="3331" max="3331" width="20" customWidth="1"/>
    <col min="3332" max="3332" width="46" customWidth="1"/>
    <col min="3333" max="3333" width="14.6640625" customWidth="1"/>
    <col min="3334" max="3334" width="13.6640625" customWidth="1"/>
    <col min="3335" max="3335" width="14.5546875" customWidth="1"/>
    <col min="3336" max="3336" width="13.5546875" customWidth="1"/>
    <col min="3337" max="3337" width="14.44140625" customWidth="1"/>
    <col min="3338" max="3338" width="12.5546875" customWidth="1"/>
    <col min="3340" max="3340" width="12.33203125" customWidth="1"/>
    <col min="3342" max="3342" width="11.33203125" customWidth="1"/>
    <col min="3345" max="3345" width="16.6640625" customWidth="1"/>
    <col min="3346" max="3346" width="11.6640625" customWidth="1"/>
    <col min="3347" max="3347" width="12.33203125" customWidth="1"/>
    <col min="3348" max="3348" width="13.44140625" customWidth="1"/>
    <col min="3349" max="3349" width="12.5546875" customWidth="1"/>
    <col min="3350" max="3350" width="9.6640625" bestFit="1" customWidth="1"/>
    <col min="3587" max="3587" width="20" customWidth="1"/>
    <col min="3588" max="3588" width="46" customWidth="1"/>
    <col min="3589" max="3589" width="14.6640625" customWidth="1"/>
    <col min="3590" max="3590" width="13.6640625" customWidth="1"/>
    <col min="3591" max="3591" width="14.5546875" customWidth="1"/>
    <col min="3592" max="3592" width="13.5546875" customWidth="1"/>
    <col min="3593" max="3593" width="14.44140625" customWidth="1"/>
    <col min="3594" max="3594" width="12.5546875" customWidth="1"/>
    <col min="3596" max="3596" width="12.33203125" customWidth="1"/>
    <col min="3598" max="3598" width="11.33203125" customWidth="1"/>
    <col min="3601" max="3601" width="16.6640625" customWidth="1"/>
    <col min="3602" max="3602" width="11.6640625" customWidth="1"/>
    <col min="3603" max="3603" width="12.33203125" customWidth="1"/>
    <col min="3604" max="3604" width="13.44140625" customWidth="1"/>
    <col min="3605" max="3605" width="12.5546875" customWidth="1"/>
    <col min="3606" max="3606" width="9.6640625" bestFit="1" customWidth="1"/>
    <col min="3843" max="3843" width="20" customWidth="1"/>
    <col min="3844" max="3844" width="46" customWidth="1"/>
    <col min="3845" max="3845" width="14.6640625" customWidth="1"/>
    <col min="3846" max="3846" width="13.6640625" customWidth="1"/>
    <col min="3847" max="3847" width="14.5546875" customWidth="1"/>
    <col min="3848" max="3848" width="13.5546875" customWidth="1"/>
    <col min="3849" max="3849" width="14.44140625" customWidth="1"/>
    <col min="3850" max="3850" width="12.5546875" customWidth="1"/>
    <col min="3852" max="3852" width="12.33203125" customWidth="1"/>
    <col min="3854" max="3854" width="11.33203125" customWidth="1"/>
    <col min="3857" max="3857" width="16.6640625" customWidth="1"/>
    <col min="3858" max="3858" width="11.6640625" customWidth="1"/>
    <col min="3859" max="3859" width="12.33203125" customWidth="1"/>
    <col min="3860" max="3860" width="13.44140625" customWidth="1"/>
    <col min="3861" max="3861" width="12.5546875" customWidth="1"/>
    <col min="3862" max="3862" width="9.6640625" bestFit="1" customWidth="1"/>
    <col min="4099" max="4099" width="20" customWidth="1"/>
    <col min="4100" max="4100" width="46" customWidth="1"/>
    <col min="4101" max="4101" width="14.6640625" customWidth="1"/>
    <col min="4102" max="4102" width="13.6640625" customWidth="1"/>
    <col min="4103" max="4103" width="14.5546875" customWidth="1"/>
    <col min="4104" max="4104" width="13.5546875" customWidth="1"/>
    <col min="4105" max="4105" width="14.44140625" customWidth="1"/>
    <col min="4106" max="4106" width="12.5546875" customWidth="1"/>
    <col min="4108" max="4108" width="12.33203125" customWidth="1"/>
    <col min="4110" max="4110" width="11.33203125" customWidth="1"/>
    <col min="4113" max="4113" width="16.6640625" customWidth="1"/>
    <col min="4114" max="4114" width="11.6640625" customWidth="1"/>
    <col min="4115" max="4115" width="12.33203125" customWidth="1"/>
    <col min="4116" max="4116" width="13.44140625" customWidth="1"/>
    <col min="4117" max="4117" width="12.5546875" customWidth="1"/>
    <col min="4118" max="4118" width="9.6640625" bestFit="1" customWidth="1"/>
    <col min="4355" max="4355" width="20" customWidth="1"/>
    <col min="4356" max="4356" width="46" customWidth="1"/>
    <col min="4357" max="4357" width="14.6640625" customWidth="1"/>
    <col min="4358" max="4358" width="13.6640625" customWidth="1"/>
    <col min="4359" max="4359" width="14.5546875" customWidth="1"/>
    <col min="4360" max="4360" width="13.5546875" customWidth="1"/>
    <col min="4361" max="4361" width="14.44140625" customWidth="1"/>
    <col min="4362" max="4362" width="12.5546875" customWidth="1"/>
    <col min="4364" max="4364" width="12.33203125" customWidth="1"/>
    <col min="4366" max="4366" width="11.33203125" customWidth="1"/>
    <col min="4369" max="4369" width="16.6640625" customWidth="1"/>
    <col min="4370" max="4370" width="11.6640625" customWidth="1"/>
    <col min="4371" max="4371" width="12.33203125" customWidth="1"/>
    <col min="4372" max="4372" width="13.44140625" customWidth="1"/>
    <col min="4373" max="4373" width="12.5546875" customWidth="1"/>
    <col min="4374" max="4374" width="9.6640625" bestFit="1" customWidth="1"/>
    <col min="4611" max="4611" width="20" customWidth="1"/>
    <col min="4612" max="4612" width="46" customWidth="1"/>
    <col min="4613" max="4613" width="14.6640625" customWidth="1"/>
    <col min="4614" max="4614" width="13.6640625" customWidth="1"/>
    <col min="4615" max="4615" width="14.5546875" customWidth="1"/>
    <col min="4616" max="4616" width="13.5546875" customWidth="1"/>
    <col min="4617" max="4617" width="14.44140625" customWidth="1"/>
    <col min="4618" max="4618" width="12.5546875" customWidth="1"/>
    <col min="4620" max="4620" width="12.33203125" customWidth="1"/>
    <col min="4622" max="4622" width="11.33203125" customWidth="1"/>
    <col min="4625" max="4625" width="16.6640625" customWidth="1"/>
    <col min="4626" max="4626" width="11.6640625" customWidth="1"/>
    <col min="4627" max="4627" width="12.33203125" customWidth="1"/>
    <col min="4628" max="4628" width="13.44140625" customWidth="1"/>
    <col min="4629" max="4629" width="12.5546875" customWidth="1"/>
    <col min="4630" max="4630" width="9.6640625" bestFit="1" customWidth="1"/>
    <col min="4867" max="4867" width="20" customWidth="1"/>
    <col min="4868" max="4868" width="46" customWidth="1"/>
    <col min="4869" max="4869" width="14.6640625" customWidth="1"/>
    <col min="4870" max="4870" width="13.6640625" customWidth="1"/>
    <col min="4871" max="4871" width="14.5546875" customWidth="1"/>
    <col min="4872" max="4872" width="13.5546875" customWidth="1"/>
    <col min="4873" max="4873" width="14.44140625" customWidth="1"/>
    <col min="4874" max="4874" width="12.5546875" customWidth="1"/>
    <col min="4876" max="4876" width="12.33203125" customWidth="1"/>
    <col min="4878" max="4878" width="11.33203125" customWidth="1"/>
    <col min="4881" max="4881" width="16.6640625" customWidth="1"/>
    <col min="4882" max="4882" width="11.6640625" customWidth="1"/>
    <col min="4883" max="4883" width="12.33203125" customWidth="1"/>
    <col min="4884" max="4884" width="13.44140625" customWidth="1"/>
    <col min="4885" max="4885" width="12.5546875" customWidth="1"/>
    <col min="4886" max="4886" width="9.6640625" bestFit="1" customWidth="1"/>
    <col min="5123" max="5123" width="20" customWidth="1"/>
    <col min="5124" max="5124" width="46" customWidth="1"/>
    <col min="5125" max="5125" width="14.6640625" customWidth="1"/>
    <col min="5126" max="5126" width="13.6640625" customWidth="1"/>
    <col min="5127" max="5127" width="14.5546875" customWidth="1"/>
    <col min="5128" max="5128" width="13.5546875" customWidth="1"/>
    <col min="5129" max="5129" width="14.44140625" customWidth="1"/>
    <col min="5130" max="5130" width="12.5546875" customWidth="1"/>
    <col min="5132" max="5132" width="12.33203125" customWidth="1"/>
    <col min="5134" max="5134" width="11.33203125" customWidth="1"/>
    <col min="5137" max="5137" width="16.6640625" customWidth="1"/>
    <col min="5138" max="5138" width="11.6640625" customWidth="1"/>
    <col min="5139" max="5139" width="12.33203125" customWidth="1"/>
    <col min="5140" max="5140" width="13.44140625" customWidth="1"/>
    <col min="5141" max="5141" width="12.5546875" customWidth="1"/>
    <col min="5142" max="5142" width="9.6640625" bestFit="1" customWidth="1"/>
    <col min="5379" max="5379" width="20" customWidth="1"/>
    <col min="5380" max="5380" width="46" customWidth="1"/>
    <col min="5381" max="5381" width="14.6640625" customWidth="1"/>
    <col min="5382" max="5382" width="13.6640625" customWidth="1"/>
    <col min="5383" max="5383" width="14.5546875" customWidth="1"/>
    <col min="5384" max="5384" width="13.5546875" customWidth="1"/>
    <col min="5385" max="5385" width="14.44140625" customWidth="1"/>
    <col min="5386" max="5386" width="12.5546875" customWidth="1"/>
    <col min="5388" max="5388" width="12.33203125" customWidth="1"/>
    <col min="5390" max="5390" width="11.33203125" customWidth="1"/>
    <col min="5393" max="5393" width="16.6640625" customWidth="1"/>
    <col min="5394" max="5394" width="11.6640625" customWidth="1"/>
    <col min="5395" max="5395" width="12.33203125" customWidth="1"/>
    <col min="5396" max="5396" width="13.44140625" customWidth="1"/>
    <col min="5397" max="5397" width="12.5546875" customWidth="1"/>
    <col min="5398" max="5398" width="9.6640625" bestFit="1" customWidth="1"/>
    <col min="5635" max="5635" width="20" customWidth="1"/>
    <col min="5636" max="5636" width="46" customWidth="1"/>
    <col min="5637" max="5637" width="14.6640625" customWidth="1"/>
    <col min="5638" max="5638" width="13.6640625" customWidth="1"/>
    <col min="5639" max="5639" width="14.5546875" customWidth="1"/>
    <col min="5640" max="5640" width="13.5546875" customWidth="1"/>
    <col min="5641" max="5641" width="14.44140625" customWidth="1"/>
    <col min="5642" max="5642" width="12.5546875" customWidth="1"/>
    <col min="5644" max="5644" width="12.33203125" customWidth="1"/>
    <col min="5646" max="5646" width="11.33203125" customWidth="1"/>
    <col min="5649" max="5649" width="16.6640625" customWidth="1"/>
    <col min="5650" max="5650" width="11.6640625" customWidth="1"/>
    <col min="5651" max="5651" width="12.33203125" customWidth="1"/>
    <col min="5652" max="5652" width="13.44140625" customWidth="1"/>
    <col min="5653" max="5653" width="12.5546875" customWidth="1"/>
    <col min="5654" max="5654" width="9.6640625" bestFit="1" customWidth="1"/>
    <col min="5891" max="5891" width="20" customWidth="1"/>
    <col min="5892" max="5892" width="46" customWidth="1"/>
    <col min="5893" max="5893" width="14.6640625" customWidth="1"/>
    <col min="5894" max="5894" width="13.6640625" customWidth="1"/>
    <col min="5895" max="5895" width="14.5546875" customWidth="1"/>
    <col min="5896" max="5896" width="13.5546875" customWidth="1"/>
    <col min="5897" max="5897" width="14.44140625" customWidth="1"/>
    <col min="5898" max="5898" width="12.5546875" customWidth="1"/>
    <col min="5900" max="5900" width="12.33203125" customWidth="1"/>
    <col min="5902" max="5902" width="11.33203125" customWidth="1"/>
    <col min="5905" max="5905" width="16.6640625" customWidth="1"/>
    <col min="5906" max="5906" width="11.6640625" customWidth="1"/>
    <col min="5907" max="5907" width="12.33203125" customWidth="1"/>
    <col min="5908" max="5908" width="13.44140625" customWidth="1"/>
    <col min="5909" max="5909" width="12.5546875" customWidth="1"/>
    <col min="5910" max="5910" width="9.6640625" bestFit="1" customWidth="1"/>
    <col min="6147" max="6147" width="20" customWidth="1"/>
    <col min="6148" max="6148" width="46" customWidth="1"/>
    <col min="6149" max="6149" width="14.6640625" customWidth="1"/>
    <col min="6150" max="6150" width="13.6640625" customWidth="1"/>
    <col min="6151" max="6151" width="14.5546875" customWidth="1"/>
    <col min="6152" max="6152" width="13.5546875" customWidth="1"/>
    <col min="6153" max="6153" width="14.44140625" customWidth="1"/>
    <col min="6154" max="6154" width="12.5546875" customWidth="1"/>
    <col min="6156" max="6156" width="12.33203125" customWidth="1"/>
    <col min="6158" max="6158" width="11.33203125" customWidth="1"/>
    <col min="6161" max="6161" width="16.6640625" customWidth="1"/>
    <col min="6162" max="6162" width="11.6640625" customWidth="1"/>
    <col min="6163" max="6163" width="12.33203125" customWidth="1"/>
    <col min="6164" max="6164" width="13.44140625" customWidth="1"/>
    <col min="6165" max="6165" width="12.5546875" customWidth="1"/>
    <col min="6166" max="6166" width="9.6640625" bestFit="1" customWidth="1"/>
    <col min="6403" max="6403" width="20" customWidth="1"/>
    <col min="6404" max="6404" width="46" customWidth="1"/>
    <col min="6405" max="6405" width="14.6640625" customWidth="1"/>
    <col min="6406" max="6406" width="13.6640625" customWidth="1"/>
    <col min="6407" max="6407" width="14.5546875" customWidth="1"/>
    <col min="6408" max="6408" width="13.5546875" customWidth="1"/>
    <col min="6409" max="6409" width="14.44140625" customWidth="1"/>
    <col min="6410" max="6410" width="12.5546875" customWidth="1"/>
    <col min="6412" max="6412" width="12.33203125" customWidth="1"/>
    <col min="6414" max="6414" width="11.33203125" customWidth="1"/>
    <col min="6417" max="6417" width="16.6640625" customWidth="1"/>
    <col min="6418" max="6418" width="11.6640625" customWidth="1"/>
    <col min="6419" max="6419" width="12.33203125" customWidth="1"/>
    <col min="6420" max="6420" width="13.44140625" customWidth="1"/>
    <col min="6421" max="6421" width="12.5546875" customWidth="1"/>
    <col min="6422" max="6422" width="9.6640625" bestFit="1" customWidth="1"/>
    <col min="6659" max="6659" width="20" customWidth="1"/>
    <col min="6660" max="6660" width="46" customWidth="1"/>
    <col min="6661" max="6661" width="14.6640625" customWidth="1"/>
    <col min="6662" max="6662" width="13.6640625" customWidth="1"/>
    <col min="6663" max="6663" width="14.5546875" customWidth="1"/>
    <col min="6664" max="6664" width="13.5546875" customWidth="1"/>
    <col min="6665" max="6665" width="14.44140625" customWidth="1"/>
    <col min="6666" max="6666" width="12.5546875" customWidth="1"/>
    <col min="6668" max="6668" width="12.33203125" customWidth="1"/>
    <col min="6670" max="6670" width="11.33203125" customWidth="1"/>
    <col min="6673" max="6673" width="16.6640625" customWidth="1"/>
    <col min="6674" max="6674" width="11.6640625" customWidth="1"/>
    <col min="6675" max="6675" width="12.33203125" customWidth="1"/>
    <col min="6676" max="6676" width="13.44140625" customWidth="1"/>
    <col min="6677" max="6677" width="12.5546875" customWidth="1"/>
    <col min="6678" max="6678" width="9.6640625" bestFit="1" customWidth="1"/>
    <col min="6915" max="6915" width="20" customWidth="1"/>
    <col min="6916" max="6916" width="46" customWidth="1"/>
    <col min="6917" max="6917" width="14.6640625" customWidth="1"/>
    <col min="6918" max="6918" width="13.6640625" customWidth="1"/>
    <col min="6919" max="6919" width="14.5546875" customWidth="1"/>
    <col min="6920" max="6920" width="13.5546875" customWidth="1"/>
    <col min="6921" max="6921" width="14.44140625" customWidth="1"/>
    <col min="6922" max="6922" width="12.5546875" customWidth="1"/>
    <col min="6924" max="6924" width="12.33203125" customWidth="1"/>
    <col min="6926" max="6926" width="11.33203125" customWidth="1"/>
    <col min="6929" max="6929" width="16.6640625" customWidth="1"/>
    <col min="6930" max="6930" width="11.6640625" customWidth="1"/>
    <col min="6931" max="6931" width="12.33203125" customWidth="1"/>
    <col min="6932" max="6932" width="13.44140625" customWidth="1"/>
    <col min="6933" max="6933" width="12.5546875" customWidth="1"/>
    <col min="6934" max="6934" width="9.6640625" bestFit="1" customWidth="1"/>
    <col min="7171" max="7171" width="20" customWidth="1"/>
    <col min="7172" max="7172" width="46" customWidth="1"/>
    <col min="7173" max="7173" width="14.6640625" customWidth="1"/>
    <col min="7174" max="7174" width="13.6640625" customWidth="1"/>
    <col min="7175" max="7175" width="14.5546875" customWidth="1"/>
    <col min="7176" max="7176" width="13.5546875" customWidth="1"/>
    <col min="7177" max="7177" width="14.44140625" customWidth="1"/>
    <col min="7178" max="7178" width="12.5546875" customWidth="1"/>
    <col min="7180" max="7180" width="12.33203125" customWidth="1"/>
    <col min="7182" max="7182" width="11.33203125" customWidth="1"/>
    <col min="7185" max="7185" width="16.6640625" customWidth="1"/>
    <col min="7186" max="7186" width="11.6640625" customWidth="1"/>
    <col min="7187" max="7187" width="12.33203125" customWidth="1"/>
    <col min="7188" max="7188" width="13.44140625" customWidth="1"/>
    <col min="7189" max="7189" width="12.5546875" customWidth="1"/>
    <col min="7190" max="7190" width="9.6640625" bestFit="1" customWidth="1"/>
    <col min="7427" max="7427" width="20" customWidth="1"/>
    <col min="7428" max="7428" width="46" customWidth="1"/>
    <col min="7429" max="7429" width="14.6640625" customWidth="1"/>
    <col min="7430" max="7430" width="13.6640625" customWidth="1"/>
    <col min="7431" max="7431" width="14.5546875" customWidth="1"/>
    <col min="7432" max="7432" width="13.5546875" customWidth="1"/>
    <col min="7433" max="7433" width="14.44140625" customWidth="1"/>
    <col min="7434" max="7434" width="12.5546875" customWidth="1"/>
    <col min="7436" max="7436" width="12.33203125" customWidth="1"/>
    <col min="7438" max="7438" width="11.33203125" customWidth="1"/>
    <col min="7441" max="7441" width="16.6640625" customWidth="1"/>
    <col min="7442" max="7442" width="11.6640625" customWidth="1"/>
    <col min="7443" max="7443" width="12.33203125" customWidth="1"/>
    <col min="7444" max="7444" width="13.44140625" customWidth="1"/>
    <col min="7445" max="7445" width="12.5546875" customWidth="1"/>
    <col min="7446" max="7446" width="9.6640625" bestFit="1" customWidth="1"/>
    <col min="7683" max="7683" width="20" customWidth="1"/>
    <col min="7684" max="7684" width="46" customWidth="1"/>
    <col min="7685" max="7685" width="14.6640625" customWidth="1"/>
    <col min="7686" max="7686" width="13.6640625" customWidth="1"/>
    <col min="7687" max="7687" width="14.5546875" customWidth="1"/>
    <col min="7688" max="7688" width="13.5546875" customWidth="1"/>
    <col min="7689" max="7689" width="14.44140625" customWidth="1"/>
    <col min="7690" max="7690" width="12.5546875" customWidth="1"/>
    <col min="7692" max="7692" width="12.33203125" customWidth="1"/>
    <col min="7694" max="7694" width="11.33203125" customWidth="1"/>
    <col min="7697" max="7697" width="16.6640625" customWidth="1"/>
    <col min="7698" max="7698" width="11.6640625" customWidth="1"/>
    <col min="7699" max="7699" width="12.33203125" customWidth="1"/>
    <col min="7700" max="7700" width="13.44140625" customWidth="1"/>
    <col min="7701" max="7701" width="12.5546875" customWidth="1"/>
    <col min="7702" max="7702" width="9.6640625" bestFit="1" customWidth="1"/>
    <col min="7939" max="7939" width="20" customWidth="1"/>
    <col min="7940" max="7940" width="46" customWidth="1"/>
    <col min="7941" max="7941" width="14.6640625" customWidth="1"/>
    <col min="7942" max="7942" width="13.6640625" customWidth="1"/>
    <col min="7943" max="7943" width="14.5546875" customWidth="1"/>
    <col min="7944" max="7944" width="13.5546875" customWidth="1"/>
    <col min="7945" max="7945" width="14.44140625" customWidth="1"/>
    <col min="7946" max="7946" width="12.5546875" customWidth="1"/>
    <col min="7948" max="7948" width="12.33203125" customWidth="1"/>
    <col min="7950" max="7950" width="11.33203125" customWidth="1"/>
    <col min="7953" max="7953" width="16.6640625" customWidth="1"/>
    <col min="7954" max="7954" width="11.6640625" customWidth="1"/>
    <col min="7955" max="7955" width="12.33203125" customWidth="1"/>
    <col min="7956" max="7956" width="13.44140625" customWidth="1"/>
    <col min="7957" max="7957" width="12.5546875" customWidth="1"/>
    <col min="7958" max="7958" width="9.6640625" bestFit="1" customWidth="1"/>
    <col min="8195" max="8195" width="20" customWidth="1"/>
    <col min="8196" max="8196" width="46" customWidth="1"/>
    <col min="8197" max="8197" width="14.6640625" customWidth="1"/>
    <col min="8198" max="8198" width="13.6640625" customWidth="1"/>
    <col min="8199" max="8199" width="14.5546875" customWidth="1"/>
    <col min="8200" max="8200" width="13.5546875" customWidth="1"/>
    <col min="8201" max="8201" width="14.44140625" customWidth="1"/>
    <col min="8202" max="8202" width="12.5546875" customWidth="1"/>
    <col min="8204" max="8204" width="12.33203125" customWidth="1"/>
    <col min="8206" max="8206" width="11.33203125" customWidth="1"/>
    <col min="8209" max="8209" width="16.6640625" customWidth="1"/>
    <col min="8210" max="8210" width="11.6640625" customWidth="1"/>
    <col min="8211" max="8211" width="12.33203125" customWidth="1"/>
    <col min="8212" max="8212" width="13.44140625" customWidth="1"/>
    <col min="8213" max="8213" width="12.5546875" customWidth="1"/>
    <col min="8214" max="8214" width="9.6640625" bestFit="1" customWidth="1"/>
    <col min="8451" max="8451" width="20" customWidth="1"/>
    <col min="8452" max="8452" width="46" customWidth="1"/>
    <col min="8453" max="8453" width="14.6640625" customWidth="1"/>
    <col min="8454" max="8454" width="13.6640625" customWidth="1"/>
    <col min="8455" max="8455" width="14.5546875" customWidth="1"/>
    <col min="8456" max="8456" width="13.5546875" customWidth="1"/>
    <col min="8457" max="8457" width="14.44140625" customWidth="1"/>
    <col min="8458" max="8458" width="12.5546875" customWidth="1"/>
    <col min="8460" max="8460" width="12.33203125" customWidth="1"/>
    <col min="8462" max="8462" width="11.33203125" customWidth="1"/>
    <col min="8465" max="8465" width="16.6640625" customWidth="1"/>
    <col min="8466" max="8466" width="11.6640625" customWidth="1"/>
    <col min="8467" max="8467" width="12.33203125" customWidth="1"/>
    <col min="8468" max="8468" width="13.44140625" customWidth="1"/>
    <col min="8469" max="8469" width="12.5546875" customWidth="1"/>
    <col min="8470" max="8470" width="9.6640625" bestFit="1" customWidth="1"/>
    <col min="8707" max="8707" width="20" customWidth="1"/>
    <col min="8708" max="8708" width="46" customWidth="1"/>
    <col min="8709" max="8709" width="14.6640625" customWidth="1"/>
    <col min="8710" max="8710" width="13.6640625" customWidth="1"/>
    <col min="8711" max="8711" width="14.5546875" customWidth="1"/>
    <col min="8712" max="8712" width="13.5546875" customWidth="1"/>
    <col min="8713" max="8713" width="14.44140625" customWidth="1"/>
    <col min="8714" max="8714" width="12.5546875" customWidth="1"/>
    <col min="8716" max="8716" width="12.33203125" customWidth="1"/>
    <col min="8718" max="8718" width="11.33203125" customWidth="1"/>
    <col min="8721" max="8721" width="16.6640625" customWidth="1"/>
    <col min="8722" max="8722" width="11.6640625" customWidth="1"/>
    <col min="8723" max="8723" width="12.33203125" customWidth="1"/>
    <col min="8724" max="8724" width="13.44140625" customWidth="1"/>
    <col min="8725" max="8725" width="12.5546875" customWidth="1"/>
    <col min="8726" max="8726" width="9.6640625" bestFit="1" customWidth="1"/>
    <col min="8963" max="8963" width="20" customWidth="1"/>
    <col min="8964" max="8964" width="46" customWidth="1"/>
    <col min="8965" max="8965" width="14.6640625" customWidth="1"/>
    <col min="8966" max="8966" width="13.6640625" customWidth="1"/>
    <col min="8967" max="8967" width="14.5546875" customWidth="1"/>
    <col min="8968" max="8968" width="13.5546875" customWidth="1"/>
    <col min="8969" max="8969" width="14.44140625" customWidth="1"/>
    <col min="8970" max="8970" width="12.5546875" customWidth="1"/>
    <col min="8972" max="8972" width="12.33203125" customWidth="1"/>
    <col min="8974" max="8974" width="11.33203125" customWidth="1"/>
    <col min="8977" max="8977" width="16.6640625" customWidth="1"/>
    <col min="8978" max="8978" width="11.6640625" customWidth="1"/>
    <col min="8979" max="8979" width="12.33203125" customWidth="1"/>
    <col min="8980" max="8980" width="13.44140625" customWidth="1"/>
    <col min="8981" max="8981" width="12.5546875" customWidth="1"/>
    <col min="8982" max="8982" width="9.6640625" bestFit="1" customWidth="1"/>
    <col min="9219" max="9219" width="20" customWidth="1"/>
    <col min="9220" max="9220" width="46" customWidth="1"/>
    <col min="9221" max="9221" width="14.6640625" customWidth="1"/>
    <col min="9222" max="9222" width="13.6640625" customWidth="1"/>
    <col min="9223" max="9223" width="14.5546875" customWidth="1"/>
    <col min="9224" max="9224" width="13.5546875" customWidth="1"/>
    <col min="9225" max="9225" width="14.44140625" customWidth="1"/>
    <col min="9226" max="9226" width="12.5546875" customWidth="1"/>
    <col min="9228" max="9228" width="12.33203125" customWidth="1"/>
    <col min="9230" max="9230" width="11.33203125" customWidth="1"/>
    <col min="9233" max="9233" width="16.6640625" customWidth="1"/>
    <col min="9234" max="9234" width="11.6640625" customWidth="1"/>
    <col min="9235" max="9235" width="12.33203125" customWidth="1"/>
    <col min="9236" max="9236" width="13.44140625" customWidth="1"/>
    <col min="9237" max="9237" width="12.5546875" customWidth="1"/>
    <col min="9238" max="9238" width="9.6640625" bestFit="1" customWidth="1"/>
    <col min="9475" max="9475" width="20" customWidth="1"/>
    <col min="9476" max="9476" width="46" customWidth="1"/>
    <col min="9477" max="9477" width="14.6640625" customWidth="1"/>
    <col min="9478" max="9478" width="13.6640625" customWidth="1"/>
    <col min="9479" max="9479" width="14.5546875" customWidth="1"/>
    <col min="9480" max="9480" width="13.5546875" customWidth="1"/>
    <col min="9481" max="9481" width="14.44140625" customWidth="1"/>
    <col min="9482" max="9482" width="12.5546875" customWidth="1"/>
    <col min="9484" max="9484" width="12.33203125" customWidth="1"/>
    <col min="9486" max="9486" width="11.33203125" customWidth="1"/>
    <col min="9489" max="9489" width="16.6640625" customWidth="1"/>
    <col min="9490" max="9490" width="11.6640625" customWidth="1"/>
    <col min="9491" max="9491" width="12.33203125" customWidth="1"/>
    <col min="9492" max="9492" width="13.44140625" customWidth="1"/>
    <col min="9493" max="9493" width="12.5546875" customWidth="1"/>
    <col min="9494" max="9494" width="9.6640625" bestFit="1" customWidth="1"/>
    <col min="9731" max="9731" width="20" customWidth="1"/>
    <col min="9732" max="9732" width="46" customWidth="1"/>
    <col min="9733" max="9733" width="14.6640625" customWidth="1"/>
    <col min="9734" max="9734" width="13.6640625" customWidth="1"/>
    <col min="9735" max="9735" width="14.5546875" customWidth="1"/>
    <col min="9736" max="9736" width="13.5546875" customWidth="1"/>
    <col min="9737" max="9737" width="14.44140625" customWidth="1"/>
    <col min="9738" max="9738" width="12.5546875" customWidth="1"/>
    <col min="9740" max="9740" width="12.33203125" customWidth="1"/>
    <col min="9742" max="9742" width="11.33203125" customWidth="1"/>
    <col min="9745" max="9745" width="16.6640625" customWidth="1"/>
    <col min="9746" max="9746" width="11.6640625" customWidth="1"/>
    <col min="9747" max="9747" width="12.33203125" customWidth="1"/>
    <col min="9748" max="9748" width="13.44140625" customWidth="1"/>
    <col min="9749" max="9749" width="12.5546875" customWidth="1"/>
    <col min="9750" max="9750" width="9.6640625" bestFit="1" customWidth="1"/>
    <col min="9987" max="9987" width="20" customWidth="1"/>
    <col min="9988" max="9988" width="46" customWidth="1"/>
    <col min="9989" max="9989" width="14.6640625" customWidth="1"/>
    <col min="9990" max="9990" width="13.6640625" customWidth="1"/>
    <col min="9991" max="9991" width="14.5546875" customWidth="1"/>
    <col min="9992" max="9992" width="13.5546875" customWidth="1"/>
    <col min="9993" max="9993" width="14.44140625" customWidth="1"/>
    <col min="9994" max="9994" width="12.5546875" customWidth="1"/>
    <col min="9996" max="9996" width="12.33203125" customWidth="1"/>
    <col min="9998" max="9998" width="11.33203125" customWidth="1"/>
    <col min="10001" max="10001" width="16.6640625" customWidth="1"/>
    <col min="10002" max="10002" width="11.6640625" customWidth="1"/>
    <col min="10003" max="10003" width="12.33203125" customWidth="1"/>
    <col min="10004" max="10004" width="13.44140625" customWidth="1"/>
    <col min="10005" max="10005" width="12.5546875" customWidth="1"/>
    <col min="10006" max="10006" width="9.6640625" bestFit="1" customWidth="1"/>
    <col min="10243" max="10243" width="20" customWidth="1"/>
    <col min="10244" max="10244" width="46" customWidth="1"/>
    <col min="10245" max="10245" width="14.6640625" customWidth="1"/>
    <col min="10246" max="10246" width="13.6640625" customWidth="1"/>
    <col min="10247" max="10247" width="14.5546875" customWidth="1"/>
    <col min="10248" max="10248" width="13.5546875" customWidth="1"/>
    <col min="10249" max="10249" width="14.44140625" customWidth="1"/>
    <col min="10250" max="10250" width="12.5546875" customWidth="1"/>
    <col min="10252" max="10252" width="12.33203125" customWidth="1"/>
    <col min="10254" max="10254" width="11.33203125" customWidth="1"/>
    <col min="10257" max="10257" width="16.6640625" customWidth="1"/>
    <col min="10258" max="10258" width="11.6640625" customWidth="1"/>
    <col min="10259" max="10259" width="12.33203125" customWidth="1"/>
    <col min="10260" max="10260" width="13.44140625" customWidth="1"/>
    <col min="10261" max="10261" width="12.5546875" customWidth="1"/>
    <col min="10262" max="10262" width="9.6640625" bestFit="1" customWidth="1"/>
    <col min="10499" max="10499" width="20" customWidth="1"/>
    <col min="10500" max="10500" width="46" customWidth="1"/>
    <col min="10501" max="10501" width="14.6640625" customWidth="1"/>
    <col min="10502" max="10502" width="13.6640625" customWidth="1"/>
    <col min="10503" max="10503" width="14.5546875" customWidth="1"/>
    <col min="10504" max="10504" width="13.5546875" customWidth="1"/>
    <col min="10505" max="10505" width="14.44140625" customWidth="1"/>
    <col min="10506" max="10506" width="12.5546875" customWidth="1"/>
    <col min="10508" max="10508" width="12.33203125" customWidth="1"/>
    <col min="10510" max="10510" width="11.33203125" customWidth="1"/>
    <col min="10513" max="10513" width="16.6640625" customWidth="1"/>
    <col min="10514" max="10514" width="11.6640625" customWidth="1"/>
    <col min="10515" max="10515" width="12.33203125" customWidth="1"/>
    <col min="10516" max="10516" width="13.44140625" customWidth="1"/>
    <col min="10517" max="10517" width="12.5546875" customWidth="1"/>
    <col min="10518" max="10518" width="9.6640625" bestFit="1" customWidth="1"/>
    <col min="10755" max="10755" width="20" customWidth="1"/>
    <col min="10756" max="10756" width="46" customWidth="1"/>
    <col min="10757" max="10757" width="14.6640625" customWidth="1"/>
    <col min="10758" max="10758" width="13.6640625" customWidth="1"/>
    <col min="10759" max="10759" width="14.5546875" customWidth="1"/>
    <col min="10760" max="10760" width="13.5546875" customWidth="1"/>
    <col min="10761" max="10761" width="14.44140625" customWidth="1"/>
    <col min="10762" max="10762" width="12.5546875" customWidth="1"/>
    <col min="10764" max="10764" width="12.33203125" customWidth="1"/>
    <col min="10766" max="10766" width="11.33203125" customWidth="1"/>
    <col min="10769" max="10769" width="16.6640625" customWidth="1"/>
    <col min="10770" max="10770" width="11.6640625" customWidth="1"/>
    <col min="10771" max="10771" width="12.33203125" customWidth="1"/>
    <col min="10772" max="10772" width="13.44140625" customWidth="1"/>
    <col min="10773" max="10773" width="12.5546875" customWidth="1"/>
    <col min="10774" max="10774" width="9.6640625" bestFit="1" customWidth="1"/>
    <col min="11011" max="11011" width="20" customWidth="1"/>
    <col min="11012" max="11012" width="46" customWidth="1"/>
    <col min="11013" max="11013" width="14.6640625" customWidth="1"/>
    <col min="11014" max="11014" width="13.6640625" customWidth="1"/>
    <col min="11015" max="11015" width="14.5546875" customWidth="1"/>
    <col min="11016" max="11016" width="13.5546875" customWidth="1"/>
    <col min="11017" max="11017" width="14.44140625" customWidth="1"/>
    <col min="11018" max="11018" width="12.5546875" customWidth="1"/>
    <col min="11020" max="11020" width="12.33203125" customWidth="1"/>
    <col min="11022" max="11022" width="11.33203125" customWidth="1"/>
    <col min="11025" max="11025" width="16.6640625" customWidth="1"/>
    <col min="11026" max="11026" width="11.6640625" customWidth="1"/>
    <col min="11027" max="11027" width="12.33203125" customWidth="1"/>
    <col min="11028" max="11028" width="13.44140625" customWidth="1"/>
    <col min="11029" max="11029" width="12.5546875" customWidth="1"/>
    <col min="11030" max="11030" width="9.6640625" bestFit="1" customWidth="1"/>
    <col min="11267" max="11267" width="20" customWidth="1"/>
    <col min="11268" max="11268" width="46" customWidth="1"/>
    <col min="11269" max="11269" width="14.6640625" customWidth="1"/>
    <col min="11270" max="11270" width="13.6640625" customWidth="1"/>
    <col min="11271" max="11271" width="14.5546875" customWidth="1"/>
    <col min="11272" max="11272" width="13.5546875" customWidth="1"/>
    <col min="11273" max="11273" width="14.44140625" customWidth="1"/>
    <col min="11274" max="11274" width="12.5546875" customWidth="1"/>
    <col min="11276" max="11276" width="12.33203125" customWidth="1"/>
    <col min="11278" max="11278" width="11.33203125" customWidth="1"/>
    <col min="11281" max="11281" width="16.6640625" customWidth="1"/>
    <col min="11282" max="11282" width="11.6640625" customWidth="1"/>
    <col min="11283" max="11283" width="12.33203125" customWidth="1"/>
    <col min="11284" max="11284" width="13.44140625" customWidth="1"/>
    <col min="11285" max="11285" width="12.5546875" customWidth="1"/>
    <col min="11286" max="11286" width="9.6640625" bestFit="1" customWidth="1"/>
    <col min="11523" max="11523" width="20" customWidth="1"/>
    <col min="11524" max="11524" width="46" customWidth="1"/>
    <col min="11525" max="11525" width="14.6640625" customWidth="1"/>
    <col min="11526" max="11526" width="13.6640625" customWidth="1"/>
    <col min="11527" max="11527" width="14.5546875" customWidth="1"/>
    <col min="11528" max="11528" width="13.5546875" customWidth="1"/>
    <col min="11529" max="11529" width="14.44140625" customWidth="1"/>
    <col min="11530" max="11530" width="12.5546875" customWidth="1"/>
    <col min="11532" max="11532" width="12.33203125" customWidth="1"/>
    <col min="11534" max="11534" width="11.33203125" customWidth="1"/>
    <col min="11537" max="11537" width="16.6640625" customWidth="1"/>
    <col min="11538" max="11538" width="11.6640625" customWidth="1"/>
    <col min="11539" max="11539" width="12.33203125" customWidth="1"/>
    <col min="11540" max="11540" width="13.44140625" customWidth="1"/>
    <col min="11541" max="11541" width="12.5546875" customWidth="1"/>
    <col min="11542" max="11542" width="9.6640625" bestFit="1" customWidth="1"/>
    <col min="11779" max="11779" width="20" customWidth="1"/>
    <col min="11780" max="11780" width="46" customWidth="1"/>
    <col min="11781" max="11781" width="14.6640625" customWidth="1"/>
    <col min="11782" max="11782" width="13.6640625" customWidth="1"/>
    <col min="11783" max="11783" width="14.5546875" customWidth="1"/>
    <col min="11784" max="11784" width="13.5546875" customWidth="1"/>
    <col min="11785" max="11785" width="14.44140625" customWidth="1"/>
    <col min="11786" max="11786" width="12.5546875" customWidth="1"/>
    <col min="11788" max="11788" width="12.33203125" customWidth="1"/>
    <col min="11790" max="11790" width="11.33203125" customWidth="1"/>
    <col min="11793" max="11793" width="16.6640625" customWidth="1"/>
    <col min="11794" max="11794" width="11.6640625" customWidth="1"/>
    <col min="11795" max="11795" width="12.33203125" customWidth="1"/>
    <col min="11796" max="11796" width="13.44140625" customWidth="1"/>
    <col min="11797" max="11797" width="12.5546875" customWidth="1"/>
    <col min="11798" max="11798" width="9.6640625" bestFit="1" customWidth="1"/>
    <col min="12035" max="12035" width="20" customWidth="1"/>
    <col min="12036" max="12036" width="46" customWidth="1"/>
    <col min="12037" max="12037" width="14.6640625" customWidth="1"/>
    <col min="12038" max="12038" width="13.6640625" customWidth="1"/>
    <col min="12039" max="12039" width="14.5546875" customWidth="1"/>
    <col min="12040" max="12040" width="13.5546875" customWidth="1"/>
    <col min="12041" max="12041" width="14.44140625" customWidth="1"/>
    <col min="12042" max="12042" width="12.5546875" customWidth="1"/>
    <col min="12044" max="12044" width="12.33203125" customWidth="1"/>
    <col min="12046" max="12046" width="11.33203125" customWidth="1"/>
    <col min="12049" max="12049" width="16.6640625" customWidth="1"/>
    <col min="12050" max="12050" width="11.6640625" customWidth="1"/>
    <col min="12051" max="12051" width="12.33203125" customWidth="1"/>
    <col min="12052" max="12052" width="13.44140625" customWidth="1"/>
    <col min="12053" max="12053" width="12.5546875" customWidth="1"/>
    <col min="12054" max="12054" width="9.6640625" bestFit="1" customWidth="1"/>
    <col min="12291" max="12291" width="20" customWidth="1"/>
    <col min="12292" max="12292" width="46" customWidth="1"/>
    <col min="12293" max="12293" width="14.6640625" customWidth="1"/>
    <col min="12294" max="12294" width="13.6640625" customWidth="1"/>
    <col min="12295" max="12295" width="14.5546875" customWidth="1"/>
    <col min="12296" max="12296" width="13.5546875" customWidth="1"/>
    <col min="12297" max="12297" width="14.44140625" customWidth="1"/>
    <col min="12298" max="12298" width="12.5546875" customWidth="1"/>
    <col min="12300" max="12300" width="12.33203125" customWidth="1"/>
    <col min="12302" max="12302" width="11.33203125" customWidth="1"/>
    <col min="12305" max="12305" width="16.6640625" customWidth="1"/>
    <col min="12306" max="12306" width="11.6640625" customWidth="1"/>
    <col min="12307" max="12307" width="12.33203125" customWidth="1"/>
    <col min="12308" max="12308" width="13.44140625" customWidth="1"/>
    <col min="12309" max="12309" width="12.5546875" customWidth="1"/>
    <col min="12310" max="12310" width="9.6640625" bestFit="1" customWidth="1"/>
    <col min="12547" max="12547" width="20" customWidth="1"/>
    <col min="12548" max="12548" width="46" customWidth="1"/>
    <col min="12549" max="12549" width="14.6640625" customWidth="1"/>
    <col min="12550" max="12550" width="13.6640625" customWidth="1"/>
    <col min="12551" max="12551" width="14.5546875" customWidth="1"/>
    <col min="12552" max="12552" width="13.5546875" customWidth="1"/>
    <col min="12553" max="12553" width="14.44140625" customWidth="1"/>
    <col min="12554" max="12554" width="12.5546875" customWidth="1"/>
    <col min="12556" max="12556" width="12.33203125" customWidth="1"/>
    <col min="12558" max="12558" width="11.33203125" customWidth="1"/>
    <col min="12561" max="12561" width="16.6640625" customWidth="1"/>
    <col min="12562" max="12562" width="11.6640625" customWidth="1"/>
    <col min="12563" max="12563" width="12.33203125" customWidth="1"/>
    <col min="12564" max="12564" width="13.44140625" customWidth="1"/>
    <col min="12565" max="12565" width="12.5546875" customWidth="1"/>
    <col min="12566" max="12566" width="9.6640625" bestFit="1" customWidth="1"/>
    <col min="12803" max="12803" width="20" customWidth="1"/>
    <col min="12804" max="12804" width="46" customWidth="1"/>
    <col min="12805" max="12805" width="14.6640625" customWidth="1"/>
    <col min="12806" max="12806" width="13.6640625" customWidth="1"/>
    <col min="12807" max="12807" width="14.5546875" customWidth="1"/>
    <col min="12808" max="12808" width="13.5546875" customWidth="1"/>
    <col min="12809" max="12809" width="14.44140625" customWidth="1"/>
    <col min="12810" max="12810" width="12.5546875" customWidth="1"/>
    <col min="12812" max="12812" width="12.33203125" customWidth="1"/>
    <col min="12814" max="12814" width="11.33203125" customWidth="1"/>
    <col min="12817" max="12817" width="16.6640625" customWidth="1"/>
    <col min="12818" max="12818" width="11.6640625" customWidth="1"/>
    <col min="12819" max="12819" width="12.33203125" customWidth="1"/>
    <col min="12820" max="12820" width="13.44140625" customWidth="1"/>
    <col min="12821" max="12821" width="12.5546875" customWidth="1"/>
    <col min="12822" max="12822" width="9.6640625" bestFit="1" customWidth="1"/>
    <col min="13059" max="13059" width="20" customWidth="1"/>
    <col min="13060" max="13060" width="46" customWidth="1"/>
    <col min="13061" max="13061" width="14.6640625" customWidth="1"/>
    <col min="13062" max="13062" width="13.6640625" customWidth="1"/>
    <col min="13063" max="13063" width="14.5546875" customWidth="1"/>
    <col min="13064" max="13064" width="13.5546875" customWidth="1"/>
    <col min="13065" max="13065" width="14.44140625" customWidth="1"/>
    <col min="13066" max="13066" width="12.5546875" customWidth="1"/>
    <col min="13068" max="13068" width="12.33203125" customWidth="1"/>
    <col min="13070" max="13070" width="11.33203125" customWidth="1"/>
    <col min="13073" max="13073" width="16.6640625" customWidth="1"/>
    <col min="13074" max="13074" width="11.6640625" customWidth="1"/>
    <col min="13075" max="13075" width="12.33203125" customWidth="1"/>
    <col min="13076" max="13076" width="13.44140625" customWidth="1"/>
    <col min="13077" max="13077" width="12.5546875" customWidth="1"/>
    <col min="13078" max="13078" width="9.6640625" bestFit="1" customWidth="1"/>
    <col min="13315" max="13315" width="20" customWidth="1"/>
    <col min="13316" max="13316" width="46" customWidth="1"/>
    <col min="13317" max="13317" width="14.6640625" customWidth="1"/>
    <col min="13318" max="13318" width="13.6640625" customWidth="1"/>
    <col min="13319" max="13319" width="14.5546875" customWidth="1"/>
    <col min="13320" max="13320" width="13.5546875" customWidth="1"/>
    <col min="13321" max="13321" width="14.44140625" customWidth="1"/>
    <col min="13322" max="13322" width="12.5546875" customWidth="1"/>
    <col min="13324" max="13324" width="12.33203125" customWidth="1"/>
    <col min="13326" max="13326" width="11.33203125" customWidth="1"/>
    <col min="13329" max="13329" width="16.6640625" customWidth="1"/>
    <col min="13330" max="13330" width="11.6640625" customWidth="1"/>
    <col min="13331" max="13331" width="12.33203125" customWidth="1"/>
    <col min="13332" max="13332" width="13.44140625" customWidth="1"/>
    <col min="13333" max="13333" width="12.5546875" customWidth="1"/>
    <col min="13334" max="13334" width="9.6640625" bestFit="1" customWidth="1"/>
    <col min="13571" max="13571" width="20" customWidth="1"/>
    <col min="13572" max="13572" width="46" customWidth="1"/>
    <col min="13573" max="13573" width="14.6640625" customWidth="1"/>
    <col min="13574" max="13574" width="13.6640625" customWidth="1"/>
    <col min="13575" max="13575" width="14.5546875" customWidth="1"/>
    <col min="13576" max="13576" width="13.5546875" customWidth="1"/>
    <col min="13577" max="13577" width="14.44140625" customWidth="1"/>
    <col min="13578" max="13578" width="12.5546875" customWidth="1"/>
    <col min="13580" max="13580" width="12.33203125" customWidth="1"/>
    <col min="13582" max="13582" width="11.33203125" customWidth="1"/>
    <col min="13585" max="13585" width="16.6640625" customWidth="1"/>
    <col min="13586" max="13586" width="11.6640625" customWidth="1"/>
    <col min="13587" max="13587" width="12.33203125" customWidth="1"/>
    <col min="13588" max="13588" width="13.44140625" customWidth="1"/>
    <col min="13589" max="13589" width="12.5546875" customWidth="1"/>
    <col min="13590" max="13590" width="9.6640625" bestFit="1" customWidth="1"/>
    <col min="13827" max="13827" width="20" customWidth="1"/>
    <col min="13828" max="13828" width="46" customWidth="1"/>
    <col min="13829" max="13829" width="14.6640625" customWidth="1"/>
    <col min="13830" max="13830" width="13.6640625" customWidth="1"/>
    <col min="13831" max="13831" width="14.5546875" customWidth="1"/>
    <col min="13832" max="13832" width="13.5546875" customWidth="1"/>
    <col min="13833" max="13833" width="14.44140625" customWidth="1"/>
    <col min="13834" max="13834" width="12.5546875" customWidth="1"/>
    <col min="13836" max="13836" width="12.33203125" customWidth="1"/>
    <col min="13838" max="13838" width="11.33203125" customWidth="1"/>
    <col min="13841" max="13841" width="16.6640625" customWidth="1"/>
    <col min="13842" max="13842" width="11.6640625" customWidth="1"/>
    <col min="13843" max="13843" width="12.33203125" customWidth="1"/>
    <col min="13844" max="13844" width="13.44140625" customWidth="1"/>
    <col min="13845" max="13845" width="12.5546875" customWidth="1"/>
    <col min="13846" max="13846" width="9.6640625" bestFit="1" customWidth="1"/>
    <col min="14083" max="14083" width="20" customWidth="1"/>
    <col min="14084" max="14084" width="46" customWidth="1"/>
    <col min="14085" max="14085" width="14.6640625" customWidth="1"/>
    <col min="14086" max="14086" width="13.6640625" customWidth="1"/>
    <col min="14087" max="14087" width="14.5546875" customWidth="1"/>
    <col min="14088" max="14088" width="13.5546875" customWidth="1"/>
    <col min="14089" max="14089" width="14.44140625" customWidth="1"/>
    <col min="14090" max="14090" width="12.5546875" customWidth="1"/>
    <col min="14092" max="14092" width="12.33203125" customWidth="1"/>
    <col min="14094" max="14094" width="11.33203125" customWidth="1"/>
    <col min="14097" max="14097" width="16.6640625" customWidth="1"/>
    <col min="14098" max="14098" width="11.6640625" customWidth="1"/>
    <col min="14099" max="14099" width="12.33203125" customWidth="1"/>
    <col min="14100" max="14100" width="13.44140625" customWidth="1"/>
    <col min="14101" max="14101" width="12.5546875" customWidth="1"/>
    <col min="14102" max="14102" width="9.6640625" bestFit="1" customWidth="1"/>
    <col min="14339" max="14339" width="20" customWidth="1"/>
    <col min="14340" max="14340" width="46" customWidth="1"/>
    <col min="14341" max="14341" width="14.6640625" customWidth="1"/>
    <col min="14342" max="14342" width="13.6640625" customWidth="1"/>
    <col min="14343" max="14343" width="14.5546875" customWidth="1"/>
    <col min="14344" max="14344" width="13.5546875" customWidth="1"/>
    <col min="14345" max="14345" width="14.44140625" customWidth="1"/>
    <col min="14346" max="14346" width="12.5546875" customWidth="1"/>
    <col min="14348" max="14348" width="12.33203125" customWidth="1"/>
    <col min="14350" max="14350" width="11.33203125" customWidth="1"/>
    <col min="14353" max="14353" width="16.6640625" customWidth="1"/>
    <col min="14354" max="14354" width="11.6640625" customWidth="1"/>
    <col min="14355" max="14355" width="12.33203125" customWidth="1"/>
    <col min="14356" max="14356" width="13.44140625" customWidth="1"/>
    <col min="14357" max="14357" width="12.5546875" customWidth="1"/>
    <col min="14358" max="14358" width="9.6640625" bestFit="1" customWidth="1"/>
    <col min="14595" max="14595" width="20" customWidth="1"/>
    <col min="14596" max="14596" width="46" customWidth="1"/>
    <col min="14597" max="14597" width="14.6640625" customWidth="1"/>
    <col min="14598" max="14598" width="13.6640625" customWidth="1"/>
    <col min="14599" max="14599" width="14.5546875" customWidth="1"/>
    <col min="14600" max="14600" width="13.5546875" customWidth="1"/>
    <col min="14601" max="14601" width="14.44140625" customWidth="1"/>
    <col min="14602" max="14602" width="12.5546875" customWidth="1"/>
    <col min="14604" max="14604" width="12.33203125" customWidth="1"/>
    <col min="14606" max="14606" width="11.33203125" customWidth="1"/>
    <col min="14609" max="14609" width="16.6640625" customWidth="1"/>
    <col min="14610" max="14610" width="11.6640625" customWidth="1"/>
    <col min="14611" max="14611" width="12.33203125" customWidth="1"/>
    <col min="14612" max="14612" width="13.44140625" customWidth="1"/>
    <col min="14613" max="14613" width="12.5546875" customWidth="1"/>
    <col min="14614" max="14614" width="9.6640625" bestFit="1" customWidth="1"/>
    <col min="14851" max="14851" width="20" customWidth="1"/>
    <col min="14852" max="14852" width="46" customWidth="1"/>
    <col min="14853" max="14853" width="14.6640625" customWidth="1"/>
    <col min="14854" max="14854" width="13.6640625" customWidth="1"/>
    <col min="14855" max="14855" width="14.5546875" customWidth="1"/>
    <col min="14856" max="14856" width="13.5546875" customWidth="1"/>
    <col min="14857" max="14857" width="14.44140625" customWidth="1"/>
    <col min="14858" max="14858" width="12.5546875" customWidth="1"/>
    <col min="14860" max="14860" width="12.33203125" customWidth="1"/>
    <col min="14862" max="14862" width="11.33203125" customWidth="1"/>
    <col min="14865" max="14865" width="16.6640625" customWidth="1"/>
    <col min="14866" max="14866" width="11.6640625" customWidth="1"/>
    <col min="14867" max="14867" width="12.33203125" customWidth="1"/>
    <col min="14868" max="14868" width="13.44140625" customWidth="1"/>
    <col min="14869" max="14869" width="12.5546875" customWidth="1"/>
    <col min="14870" max="14870" width="9.6640625" bestFit="1" customWidth="1"/>
    <col min="15107" max="15107" width="20" customWidth="1"/>
    <col min="15108" max="15108" width="46" customWidth="1"/>
    <col min="15109" max="15109" width="14.6640625" customWidth="1"/>
    <col min="15110" max="15110" width="13.6640625" customWidth="1"/>
    <col min="15111" max="15111" width="14.5546875" customWidth="1"/>
    <col min="15112" max="15112" width="13.5546875" customWidth="1"/>
    <col min="15113" max="15113" width="14.44140625" customWidth="1"/>
    <col min="15114" max="15114" width="12.5546875" customWidth="1"/>
    <col min="15116" max="15116" width="12.33203125" customWidth="1"/>
    <col min="15118" max="15118" width="11.33203125" customWidth="1"/>
    <col min="15121" max="15121" width="16.6640625" customWidth="1"/>
    <col min="15122" max="15122" width="11.6640625" customWidth="1"/>
    <col min="15123" max="15123" width="12.33203125" customWidth="1"/>
    <col min="15124" max="15124" width="13.44140625" customWidth="1"/>
    <col min="15125" max="15125" width="12.5546875" customWidth="1"/>
    <col min="15126" max="15126" width="9.6640625" bestFit="1" customWidth="1"/>
    <col min="15363" max="15363" width="20" customWidth="1"/>
    <col min="15364" max="15364" width="46" customWidth="1"/>
    <col min="15365" max="15365" width="14.6640625" customWidth="1"/>
    <col min="15366" max="15366" width="13.6640625" customWidth="1"/>
    <col min="15367" max="15367" width="14.5546875" customWidth="1"/>
    <col min="15368" max="15368" width="13.5546875" customWidth="1"/>
    <col min="15369" max="15369" width="14.44140625" customWidth="1"/>
    <col min="15370" max="15370" width="12.5546875" customWidth="1"/>
    <col min="15372" max="15372" width="12.33203125" customWidth="1"/>
    <col min="15374" max="15374" width="11.33203125" customWidth="1"/>
    <col min="15377" max="15377" width="16.6640625" customWidth="1"/>
    <col min="15378" max="15378" width="11.6640625" customWidth="1"/>
    <col min="15379" max="15379" width="12.33203125" customWidth="1"/>
    <col min="15380" max="15380" width="13.44140625" customWidth="1"/>
    <col min="15381" max="15381" width="12.5546875" customWidth="1"/>
    <col min="15382" max="15382" width="9.6640625" bestFit="1" customWidth="1"/>
    <col min="15619" max="15619" width="20" customWidth="1"/>
    <col min="15620" max="15620" width="46" customWidth="1"/>
    <col min="15621" max="15621" width="14.6640625" customWidth="1"/>
    <col min="15622" max="15622" width="13.6640625" customWidth="1"/>
    <col min="15623" max="15623" width="14.5546875" customWidth="1"/>
    <col min="15624" max="15624" width="13.5546875" customWidth="1"/>
    <col min="15625" max="15625" width="14.44140625" customWidth="1"/>
    <col min="15626" max="15626" width="12.5546875" customWidth="1"/>
    <col min="15628" max="15628" width="12.33203125" customWidth="1"/>
    <col min="15630" max="15630" width="11.33203125" customWidth="1"/>
    <col min="15633" max="15633" width="16.6640625" customWidth="1"/>
    <col min="15634" max="15634" width="11.6640625" customWidth="1"/>
    <col min="15635" max="15635" width="12.33203125" customWidth="1"/>
    <col min="15636" max="15636" width="13.44140625" customWidth="1"/>
    <col min="15637" max="15637" width="12.5546875" customWidth="1"/>
    <col min="15638" max="15638" width="9.6640625" bestFit="1" customWidth="1"/>
    <col min="15875" max="15875" width="20" customWidth="1"/>
    <col min="15876" max="15876" width="46" customWidth="1"/>
    <col min="15877" max="15877" width="14.6640625" customWidth="1"/>
    <col min="15878" max="15878" width="13.6640625" customWidth="1"/>
    <col min="15879" max="15879" width="14.5546875" customWidth="1"/>
    <col min="15880" max="15880" width="13.5546875" customWidth="1"/>
    <col min="15881" max="15881" width="14.44140625" customWidth="1"/>
    <col min="15882" max="15882" width="12.5546875" customWidth="1"/>
    <col min="15884" max="15884" width="12.33203125" customWidth="1"/>
    <col min="15886" max="15886" width="11.33203125" customWidth="1"/>
    <col min="15889" max="15889" width="16.6640625" customWidth="1"/>
    <col min="15890" max="15890" width="11.6640625" customWidth="1"/>
    <col min="15891" max="15891" width="12.33203125" customWidth="1"/>
    <col min="15892" max="15892" width="13.44140625" customWidth="1"/>
    <col min="15893" max="15893" width="12.5546875" customWidth="1"/>
    <col min="15894" max="15894" width="9.6640625" bestFit="1" customWidth="1"/>
    <col min="16131" max="16131" width="20" customWidth="1"/>
    <col min="16132" max="16132" width="46" customWidth="1"/>
    <col min="16133" max="16133" width="14.6640625" customWidth="1"/>
    <col min="16134" max="16134" width="13.6640625" customWidth="1"/>
    <col min="16135" max="16135" width="14.5546875" customWidth="1"/>
    <col min="16136" max="16136" width="13.5546875" customWidth="1"/>
    <col min="16137" max="16137" width="14.44140625" customWidth="1"/>
    <col min="16138" max="16138" width="12.5546875" customWidth="1"/>
    <col min="16140" max="16140" width="12.33203125" customWidth="1"/>
    <col min="16142" max="16142" width="11.33203125" customWidth="1"/>
    <col min="16145" max="16145" width="16.6640625" customWidth="1"/>
    <col min="16146" max="16146" width="11.6640625" customWidth="1"/>
    <col min="16147" max="16147" width="12.33203125" customWidth="1"/>
    <col min="16148" max="16148" width="13.44140625" customWidth="1"/>
    <col min="16149" max="16149" width="12.5546875" customWidth="1"/>
    <col min="16150" max="16150" width="9.6640625" bestFit="1" customWidth="1"/>
  </cols>
  <sheetData>
    <row r="1" spans="2:21" ht="23.4" x14ac:dyDescent="0.3">
      <c r="D1" s="136" t="s">
        <v>217</v>
      </c>
      <c r="E1" s="136"/>
      <c r="F1" s="136"/>
      <c r="G1" s="136"/>
      <c r="H1" s="136"/>
      <c r="I1" s="136"/>
      <c r="J1" s="136"/>
      <c r="K1" s="136"/>
      <c r="L1" s="136"/>
      <c r="M1" s="136"/>
      <c r="N1" s="136"/>
      <c r="O1" s="136"/>
      <c r="P1" s="136"/>
    </row>
    <row r="2" spans="2:21" ht="18" x14ac:dyDescent="0.3">
      <c r="B2" s="141" t="s">
        <v>175</v>
      </c>
      <c r="C2" s="141"/>
      <c r="D2" s="141"/>
      <c r="E2" s="141"/>
      <c r="F2" s="141"/>
      <c r="G2" s="141"/>
      <c r="H2" s="141"/>
      <c r="I2" s="141"/>
      <c r="J2" s="141"/>
    </row>
    <row r="3" spans="2:21" ht="15.6" x14ac:dyDescent="0.3">
      <c r="B3" s="142" t="s">
        <v>1</v>
      </c>
      <c r="C3" s="143" t="s">
        <v>2</v>
      </c>
      <c r="D3" s="143"/>
      <c r="E3" s="143"/>
      <c r="F3" s="143"/>
      <c r="G3" s="143"/>
      <c r="H3" s="143"/>
      <c r="I3" s="143"/>
      <c r="J3" s="143"/>
      <c r="K3" s="81" t="s">
        <v>176</v>
      </c>
      <c r="L3" s="81"/>
      <c r="M3" s="81"/>
      <c r="N3" s="81"/>
      <c r="O3" s="81"/>
      <c r="P3" s="6"/>
      <c r="Q3" s="6"/>
      <c r="R3" s="82" t="s">
        <v>4</v>
      </c>
      <c r="S3" s="82"/>
      <c r="T3" s="82"/>
      <c r="U3" s="82"/>
    </row>
    <row r="4" spans="2:21" ht="78" x14ac:dyDescent="0.3">
      <c r="B4" s="142"/>
      <c r="C4" s="3" t="s">
        <v>5</v>
      </c>
      <c r="D4" s="28" t="s">
        <v>6</v>
      </c>
      <c r="E4" s="28" t="s">
        <v>7</v>
      </c>
      <c r="F4" s="28" t="s">
        <v>8</v>
      </c>
      <c r="G4" s="28" t="s">
        <v>177</v>
      </c>
      <c r="H4" s="28" t="s">
        <v>11</v>
      </c>
      <c r="I4" s="28" t="s">
        <v>12</v>
      </c>
      <c r="J4" s="28" t="s">
        <v>13</v>
      </c>
      <c r="K4" s="28" t="s">
        <v>131</v>
      </c>
      <c r="L4" s="28" t="s">
        <v>178</v>
      </c>
      <c r="M4" s="28" t="s">
        <v>179</v>
      </c>
      <c r="N4" s="28" t="s">
        <v>180</v>
      </c>
      <c r="O4" s="28" t="s">
        <v>181</v>
      </c>
      <c r="P4" s="6" t="s">
        <v>131</v>
      </c>
      <c r="Q4" s="53">
        <v>2023</v>
      </c>
      <c r="R4" s="53">
        <v>2024</v>
      </c>
      <c r="S4" s="53">
        <v>2025</v>
      </c>
      <c r="T4" s="53">
        <v>2026</v>
      </c>
      <c r="U4" s="53">
        <v>2027</v>
      </c>
    </row>
    <row r="5" spans="2:21" ht="58.5" customHeight="1" thickBot="1" x14ac:dyDescent="0.35">
      <c r="B5" s="54">
        <v>1</v>
      </c>
      <c r="C5" s="129" t="s">
        <v>30</v>
      </c>
      <c r="D5" s="3" t="s">
        <v>114</v>
      </c>
      <c r="E5" s="3">
        <v>11687</v>
      </c>
      <c r="F5" s="3" t="s">
        <v>46</v>
      </c>
      <c r="G5" s="55">
        <f>1062351.62+522609.95+3500000+50000+857000+850000</f>
        <v>6841961.5700000003</v>
      </c>
      <c r="H5" s="3" t="s">
        <v>182</v>
      </c>
      <c r="I5" s="3" t="s">
        <v>26</v>
      </c>
      <c r="J5" s="3">
        <v>2027</v>
      </c>
      <c r="K5" s="56" t="s">
        <v>183</v>
      </c>
      <c r="L5" s="57">
        <v>0.5</v>
      </c>
      <c r="M5" s="4">
        <v>2027</v>
      </c>
      <c r="N5" s="57">
        <v>0.5</v>
      </c>
      <c r="O5" s="4">
        <v>2027</v>
      </c>
      <c r="P5" s="4"/>
      <c r="Q5" s="58">
        <f>50000+3500000+15000-30000-5000</f>
        <v>3530000</v>
      </c>
      <c r="R5" s="33">
        <f>857000-212214-15000</f>
        <v>629786</v>
      </c>
      <c r="S5" s="33">
        <v>350000</v>
      </c>
      <c r="T5" s="33">
        <v>350000</v>
      </c>
      <c r="U5" s="33">
        <v>300000</v>
      </c>
    </row>
    <row r="6" spans="2:21" ht="46.5" customHeight="1" thickBot="1" x14ac:dyDescent="0.35">
      <c r="B6" s="54">
        <v>2</v>
      </c>
      <c r="C6" s="144"/>
      <c r="D6" s="4" t="s">
        <v>184</v>
      </c>
      <c r="E6" s="4">
        <v>4000</v>
      </c>
      <c r="F6" s="4" t="s">
        <v>46</v>
      </c>
      <c r="G6" s="55">
        <f>542026.23+3514+400000+1600000</f>
        <v>2545540.23</v>
      </c>
      <c r="H6" s="3" t="s">
        <v>182</v>
      </c>
      <c r="I6" s="3" t="s">
        <v>26</v>
      </c>
      <c r="J6" s="4">
        <v>2027</v>
      </c>
      <c r="K6" s="56" t="s">
        <v>183</v>
      </c>
      <c r="L6" s="57">
        <v>0.5</v>
      </c>
      <c r="M6" s="4">
        <v>2027</v>
      </c>
      <c r="N6" s="57">
        <v>0.5</v>
      </c>
      <c r="O6" s="4">
        <v>2027</v>
      </c>
      <c r="P6" s="4"/>
      <c r="Q6" s="58">
        <f>10000+400000+5000-5000</f>
        <v>410000</v>
      </c>
      <c r="R6" s="33">
        <f>400000+5000</f>
        <v>405000</v>
      </c>
      <c r="S6" s="33">
        <f>400000+5000</f>
        <v>405000</v>
      </c>
      <c r="T6" s="33">
        <f>400000+5000</f>
        <v>405000</v>
      </c>
      <c r="U6" s="33">
        <f>400000+5000</f>
        <v>405000</v>
      </c>
    </row>
    <row r="7" spans="2:21" ht="45.75" customHeight="1" thickBot="1" x14ac:dyDescent="0.35">
      <c r="B7" s="54">
        <v>3</v>
      </c>
      <c r="C7" s="144"/>
      <c r="D7" s="15" t="s">
        <v>185</v>
      </c>
      <c r="E7" s="15">
        <v>10</v>
      </c>
      <c r="F7" s="15" t="s">
        <v>46</v>
      </c>
      <c r="G7" s="14">
        <f>274566+99249+486178+94610</f>
        <v>954603</v>
      </c>
      <c r="H7" s="9" t="s">
        <v>127</v>
      </c>
      <c r="I7" s="9" t="s">
        <v>26</v>
      </c>
      <c r="J7" s="15">
        <v>2023</v>
      </c>
      <c r="K7" s="56" t="s">
        <v>183</v>
      </c>
      <c r="L7" s="59">
        <v>0.95</v>
      </c>
      <c r="M7" s="15">
        <v>2023</v>
      </c>
      <c r="N7" s="59">
        <v>0.95</v>
      </c>
      <c r="O7" s="15">
        <v>2023</v>
      </c>
      <c r="P7" s="15"/>
      <c r="Q7" s="33">
        <f>200000+15000+20000+100-100000</f>
        <v>135100</v>
      </c>
      <c r="R7" s="33"/>
      <c r="S7" s="33"/>
      <c r="T7" s="33"/>
      <c r="U7" s="33"/>
    </row>
    <row r="8" spans="2:21" ht="56.25" customHeight="1" thickBot="1" x14ac:dyDescent="0.35">
      <c r="B8" s="54">
        <v>4</v>
      </c>
      <c r="C8" s="144"/>
      <c r="D8" s="4" t="s">
        <v>186</v>
      </c>
      <c r="E8" s="4">
        <v>0.06</v>
      </c>
      <c r="F8" s="4" t="s">
        <v>22</v>
      </c>
      <c r="G8" s="55">
        <v>81212</v>
      </c>
      <c r="H8" s="9" t="s">
        <v>127</v>
      </c>
      <c r="I8" s="3" t="s">
        <v>26</v>
      </c>
      <c r="J8" s="4">
        <v>2023</v>
      </c>
      <c r="K8" s="60" t="s">
        <v>187</v>
      </c>
      <c r="L8" s="57">
        <v>1</v>
      </c>
      <c r="M8" s="4">
        <v>2023</v>
      </c>
      <c r="N8" s="57">
        <v>0.95</v>
      </c>
      <c r="O8" s="4">
        <v>2023</v>
      </c>
      <c r="P8" s="4"/>
      <c r="Q8" s="58">
        <f>6000+1300</f>
        <v>7300</v>
      </c>
      <c r="R8" s="33"/>
      <c r="S8" s="33"/>
      <c r="T8" s="33"/>
      <c r="U8" s="33"/>
    </row>
    <row r="9" spans="2:21" ht="141" thickBot="1" x14ac:dyDescent="0.35">
      <c r="B9" s="54">
        <v>5</v>
      </c>
      <c r="C9" s="144"/>
      <c r="D9" s="61" t="s">
        <v>21</v>
      </c>
      <c r="E9" s="15">
        <v>0.1</v>
      </c>
      <c r="F9" s="15" t="s">
        <v>22</v>
      </c>
      <c r="G9" s="14">
        <f>90521+35000</f>
        <v>125521</v>
      </c>
      <c r="H9" s="9" t="s">
        <v>23</v>
      </c>
      <c r="I9" s="9" t="s">
        <v>26</v>
      </c>
      <c r="J9" s="15">
        <v>2023</v>
      </c>
      <c r="K9" s="62" t="s">
        <v>188</v>
      </c>
      <c r="L9" s="59">
        <v>0.8</v>
      </c>
      <c r="M9" s="15">
        <v>2023</v>
      </c>
      <c r="N9" s="59">
        <v>0.8</v>
      </c>
      <c r="O9" s="15">
        <v>2023</v>
      </c>
      <c r="P9" s="15"/>
      <c r="Q9" s="33">
        <f>25000+35000+50000</f>
        <v>110000</v>
      </c>
      <c r="R9" s="33"/>
      <c r="S9" s="33"/>
      <c r="T9" s="33"/>
      <c r="U9" s="33"/>
    </row>
    <row r="10" spans="2:21" ht="43.5" customHeight="1" thickBot="1" x14ac:dyDescent="0.35">
      <c r="B10" s="54">
        <v>6</v>
      </c>
      <c r="C10" s="144"/>
      <c r="D10" s="61" t="s">
        <v>189</v>
      </c>
      <c r="E10" s="15">
        <v>4</v>
      </c>
      <c r="F10" s="15" t="s">
        <v>46</v>
      </c>
      <c r="G10" s="55">
        <f>80000+252000+117193+290000+80000+500000+150000+30000+930000</f>
        <v>2429193</v>
      </c>
      <c r="H10" s="61" t="s">
        <v>190</v>
      </c>
      <c r="I10" s="9" t="s">
        <v>26</v>
      </c>
      <c r="J10" s="15">
        <v>2027</v>
      </c>
      <c r="K10" s="56" t="s">
        <v>183</v>
      </c>
      <c r="L10" s="59">
        <v>0.6</v>
      </c>
      <c r="M10" s="15">
        <v>2027</v>
      </c>
      <c r="N10" s="59">
        <v>0.7</v>
      </c>
      <c r="O10" s="15">
        <v>2027</v>
      </c>
      <c r="P10" s="15"/>
      <c r="Q10" s="33">
        <f>10000+11000+5000+1000+60000+500000+150000+30000+40000+24000+5000+1000-30000+35000+50000+5000+2000</f>
        <v>899000</v>
      </c>
      <c r="R10" s="33">
        <v>180000</v>
      </c>
      <c r="S10" s="33">
        <f>150000+125000+50000</f>
        <v>325000</v>
      </c>
      <c r="T10" s="33">
        <f>150000+125000</f>
        <v>275000</v>
      </c>
      <c r="U10" s="33">
        <v>150000</v>
      </c>
    </row>
    <row r="11" spans="2:21" ht="31.8" thickBot="1" x14ac:dyDescent="0.35">
      <c r="B11" s="54">
        <v>7</v>
      </c>
      <c r="C11" s="144"/>
      <c r="D11" s="4" t="s">
        <v>191</v>
      </c>
      <c r="E11" s="4" t="s">
        <v>192</v>
      </c>
      <c r="F11" s="4" t="s">
        <v>46</v>
      </c>
      <c r="G11" s="55">
        <f>2750268-250000+100000+14900000</f>
        <v>17500268</v>
      </c>
      <c r="H11" s="9" t="s">
        <v>193</v>
      </c>
      <c r="I11" s="3" t="s">
        <v>26</v>
      </c>
      <c r="J11" s="4" t="s">
        <v>194</v>
      </c>
      <c r="K11" s="56" t="s">
        <v>183</v>
      </c>
      <c r="L11" s="57" t="s">
        <v>192</v>
      </c>
      <c r="M11" s="4" t="s">
        <v>192</v>
      </c>
      <c r="N11" s="57" t="s">
        <v>192</v>
      </c>
      <c r="O11" s="4" t="s">
        <v>192</v>
      </c>
      <c r="P11" s="4"/>
      <c r="Q11" s="55">
        <f>2750268-250000+100000+75000</f>
        <v>2675268</v>
      </c>
      <c r="R11" s="55">
        <f>3800000+500000+500000+500000+100000+200000+500000</f>
        <v>6100000</v>
      </c>
      <c r="S11" s="55">
        <v>3800000</v>
      </c>
      <c r="T11" s="55">
        <v>3800000</v>
      </c>
      <c r="U11" s="55">
        <v>3500000</v>
      </c>
    </row>
    <row r="12" spans="2:21" ht="58.2" thickBot="1" x14ac:dyDescent="0.35">
      <c r="B12" s="54">
        <v>8</v>
      </c>
      <c r="C12" s="129" t="s">
        <v>20</v>
      </c>
      <c r="D12" s="63" t="s">
        <v>195</v>
      </c>
      <c r="E12" s="4"/>
      <c r="F12" s="4"/>
      <c r="G12" s="55">
        <f>2409000+500000</f>
        <v>2909000</v>
      </c>
      <c r="H12" s="5" t="s">
        <v>196</v>
      </c>
      <c r="I12" s="3" t="s">
        <v>26</v>
      </c>
      <c r="J12" s="4" t="s">
        <v>194</v>
      </c>
      <c r="K12" s="60" t="s">
        <v>187</v>
      </c>
      <c r="L12" s="57" t="s">
        <v>192</v>
      </c>
      <c r="M12" s="4" t="s">
        <v>192</v>
      </c>
      <c r="N12" s="57" t="s">
        <v>192</v>
      </c>
      <c r="O12" s="4" t="s">
        <v>192</v>
      </c>
      <c r="P12" s="4"/>
      <c r="Q12" s="58">
        <f>404000+5000+535000</f>
        <v>944000</v>
      </c>
      <c r="R12" s="58">
        <f>500000-100000</f>
        <v>400000</v>
      </c>
      <c r="S12" s="58">
        <v>500000</v>
      </c>
      <c r="T12" s="58">
        <v>500000</v>
      </c>
      <c r="U12" s="58">
        <v>500000</v>
      </c>
    </row>
    <row r="13" spans="2:21" ht="31.8" thickBot="1" x14ac:dyDescent="0.35">
      <c r="B13" s="54">
        <v>9</v>
      </c>
      <c r="C13" s="137"/>
      <c r="D13" s="63" t="s">
        <v>197</v>
      </c>
      <c r="E13" s="4"/>
      <c r="F13" s="4"/>
      <c r="G13" s="55">
        <f>1000000+200000</f>
        <v>1200000</v>
      </c>
      <c r="H13" s="9" t="s">
        <v>193</v>
      </c>
      <c r="I13" s="3" t="s">
        <v>26</v>
      </c>
      <c r="J13" s="4" t="s">
        <v>194</v>
      </c>
      <c r="K13" s="60" t="s">
        <v>187</v>
      </c>
      <c r="L13" s="57" t="s">
        <v>192</v>
      </c>
      <c r="M13" s="4" t="s">
        <v>192</v>
      </c>
      <c r="N13" s="57" t="s">
        <v>192</v>
      </c>
      <c r="O13" s="4" t="s">
        <v>192</v>
      </c>
      <c r="P13" s="4"/>
      <c r="Q13" s="58">
        <f>100000+100000+100000</f>
        <v>300000</v>
      </c>
      <c r="R13" s="58">
        <v>200000</v>
      </c>
      <c r="S13" s="58">
        <v>200000</v>
      </c>
      <c r="T13" s="58">
        <v>200000</v>
      </c>
      <c r="U13" s="58">
        <v>200000</v>
      </c>
    </row>
    <row r="14" spans="2:21" ht="47.4" thickBot="1" x14ac:dyDescent="0.35">
      <c r="B14" s="54">
        <v>10</v>
      </c>
      <c r="C14" s="137"/>
      <c r="D14" s="4" t="s">
        <v>184</v>
      </c>
      <c r="E14" s="4">
        <v>5000</v>
      </c>
      <c r="F14" s="4" t="s">
        <v>46</v>
      </c>
      <c r="G14" s="55">
        <f>629800.15+400000+2800000</f>
        <v>3829800.15</v>
      </c>
      <c r="H14" s="3" t="s">
        <v>182</v>
      </c>
      <c r="I14" s="3" t="s">
        <v>26</v>
      </c>
      <c r="J14" s="4">
        <v>2027</v>
      </c>
      <c r="K14" s="56" t="s">
        <v>183</v>
      </c>
      <c r="L14" s="57">
        <v>0.5</v>
      </c>
      <c r="M14" s="4">
        <v>2027</v>
      </c>
      <c r="N14" s="57">
        <v>0.5</v>
      </c>
      <c r="O14" s="4">
        <v>2027</v>
      </c>
      <c r="P14" s="4"/>
      <c r="Q14" s="58">
        <f>300000+400000+10000+137000-5000</f>
        <v>842000</v>
      </c>
      <c r="R14" s="58">
        <f>700000+10000-200000</f>
        <v>510000</v>
      </c>
      <c r="S14" s="58">
        <f>700000+10000</f>
        <v>710000</v>
      </c>
      <c r="T14" s="58">
        <f>700000+10000</f>
        <v>710000</v>
      </c>
      <c r="U14" s="58">
        <f>700000+10000</f>
        <v>710000</v>
      </c>
    </row>
    <row r="15" spans="2:21" ht="62.25" customHeight="1" thickBot="1" x14ac:dyDescent="0.35">
      <c r="B15" s="54">
        <v>11</v>
      </c>
      <c r="C15" s="137"/>
      <c r="D15" s="9" t="s">
        <v>21</v>
      </c>
      <c r="E15" s="15">
        <f>0.3+0.3+1+7</f>
        <v>8.6</v>
      </c>
      <c r="F15" s="15" t="s">
        <v>22</v>
      </c>
      <c r="G15" s="55">
        <f>58773+146701+293148+100+100+100+6000+Q15+R15</f>
        <v>2733089</v>
      </c>
      <c r="H15" s="9" t="s">
        <v>23</v>
      </c>
      <c r="I15" s="9" t="s">
        <v>26</v>
      </c>
      <c r="J15" s="15">
        <v>2024</v>
      </c>
      <c r="K15" s="62" t="s">
        <v>188</v>
      </c>
      <c r="L15" s="57">
        <v>0.5</v>
      </c>
      <c r="M15" s="4">
        <v>2027</v>
      </c>
      <c r="N15" s="57">
        <v>0.5</v>
      </c>
      <c r="O15" s="4">
        <v>2027</v>
      </c>
      <c r="P15" s="64"/>
      <c r="Q15" s="35">
        <f>5000+5000+100+100+100+6000+1876667+250000-5900-4000-4900</f>
        <v>2128167</v>
      </c>
      <c r="R15" s="34">
        <v>100000</v>
      </c>
      <c r="S15" s="35"/>
      <c r="T15" s="35"/>
      <c r="U15" s="35"/>
    </row>
    <row r="16" spans="2:21" ht="47.4" thickBot="1" x14ac:dyDescent="0.35">
      <c r="B16" s="54">
        <v>12</v>
      </c>
      <c r="C16" s="137"/>
      <c r="D16" s="15" t="s">
        <v>185</v>
      </c>
      <c r="E16" s="15">
        <v>5</v>
      </c>
      <c r="F16" s="15" t="s">
        <v>46</v>
      </c>
      <c r="G16" s="14">
        <f>104690</f>
        <v>104690</v>
      </c>
      <c r="H16" s="9" t="s">
        <v>127</v>
      </c>
      <c r="I16" s="9" t="s">
        <v>26</v>
      </c>
      <c r="J16" s="15">
        <v>2023</v>
      </c>
      <c r="K16" s="56" t="s">
        <v>183</v>
      </c>
      <c r="L16" s="59">
        <v>0.95</v>
      </c>
      <c r="M16" s="15">
        <v>2023</v>
      </c>
      <c r="N16" s="59">
        <v>0.95</v>
      </c>
      <c r="O16" s="15">
        <v>2023</v>
      </c>
      <c r="P16" s="15"/>
      <c r="Q16" s="33">
        <f>10000-9000</f>
        <v>1000</v>
      </c>
      <c r="R16" s="33"/>
      <c r="S16" s="33"/>
      <c r="T16" s="33"/>
      <c r="U16" s="33"/>
    </row>
    <row r="17" spans="2:22" ht="31.5" customHeight="1" thickBot="1" x14ac:dyDescent="0.35">
      <c r="B17" s="54">
        <v>13</v>
      </c>
      <c r="C17" s="137"/>
      <c r="D17" s="9" t="s">
        <v>198</v>
      </c>
      <c r="E17" s="15">
        <f>0.5</f>
        <v>0.5</v>
      </c>
      <c r="F17" s="15" t="s">
        <v>22</v>
      </c>
      <c r="G17" s="55">
        <f>127621</f>
        <v>127621</v>
      </c>
      <c r="H17" s="61" t="s">
        <v>137</v>
      </c>
      <c r="I17" s="9" t="s">
        <v>26</v>
      </c>
      <c r="J17" s="15">
        <v>2023</v>
      </c>
      <c r="K17" s="60" t="s">
        <v>187</v>
      </c>
      <c r="L17" s="59">
        <v>0.95</v>
      </c>
      <c r="M17" s="15">
        <v>2023</v>
      </c>
      <c r="N17" s="59">
        <v>0.95</v>
      </c>
      <c r="O17" s="15">
        <v>2023</v>
      </c>
      <c r="P17" s="15"/>
      <c r="Q17" s="33">
        <f>1000-900</f>
        <v>100</v>
      </c>
      <c r="R17" s="33"/>
      <c r="S17" s="33"/>
      <c r="T17" s="35"/>
      <c r="U17" s="35"/>
    </row>
    <row r="18" spans="2:22" ht="29.4" thickBot="1" x14ac:dyDescent="0.35">
      <c r="B18" s="54">
        <v>14</v>
      </c>
      <c r="C18" s="137"/>
      <c r="D18" s="61" t="s">
        <v>189</v>
      </c>
      <c r="E18" s="15">
        <v>6</v>
      </c>
      <c r="F18" s="15" t="s">
        <v>46</v>
      </c>
      <c r="G18" s="55">
        <f>39191+92269+14080+150000+100+7000+10000+2000+445000+168797+525000</f>
        <v>1453437</v>
      </c>
      <c r="H18" s="61" t="s">
        <v>190</v>
      </c>
      <c r="I18" s="9" t="s">
        <v>26</v>
      </c>
      <c r="J18" s="15">
        <v>2027</v>
      </c>
      <c r="K18" s="56" t="s">
        <v>183</v>
      </c>
      <c r="L18" s="59">
        <v>0.6</v>
      </c>
      <c r="M18" s="15">
        <v>2027</v>
      </c>
      <c r="N18" s="59">
        <v>0.7</v>
      </c>
      <c r="O18" s="15">
        <v>2027</v>
      </c>
      <c r="P18" s="15"/>
      <c r="Q18" s="33">
        <f>5000+5000+2000+1000+60000+100+7000+10000+2000+185000+25000+5000+2000+265000+50000</f>
        <v>624100</v>
      </c>
      <c r="R18" s="33">
        <v>200000</v>
      </c>
      <c r="S18" s="33">
        <f>140000+325000</f>
        <v>465000</v>
      </c>
      <c r="T18" s="33"/>
      <c r="U18" s="33"/>
    </row>
    <row r="19" spans="2:22" ht="31.8" thickBot="1" x14ac:dyDescent="0.35">
      <c r="B19" s="54">
        <v>15</v>
      </c>
      <c r="C19" s="137"/>
      <c r="D19" s="4" t="s">
        <v>191</v>
      </c>
      <c r="E19" s="4" t="s">
        <v>192</v>
      </c>
      <c r="F19" s="4" t="s">
        <v>46</v>
      </c>
      <c r="G19" s="55">
        <f>250000+1250000</f>
        <v>1500000</v>
      </c>
      <c r="H19" s="9" t="s">
        <v>193</v>
      </c>
      <c r="I19" s="3" t="s">
        <v>26</v>
      </c>
      <c r="J19" s="4" t="s">
        <v>194</v>
      </c>
      <c r="K19" s="56" t="s">
        <v>183</v>
      </c>
      <c r="L19" s="57" t="s">
        <v>192</v>
      </c>
      <c r="M19" s="4" t="s">
        <v>192</v>
      </c>
      <c r="N19" s="57" t="s">
        <v>192</v>
      </c>
      <c r="O19" s="4" t="s">
        <v>192</v>
      </c>
      <c r="P19" s="4"/>
      <c r="Q19" s="55">
        <v>250000</v>
      </c>
      <c r="R19" s="58">
        <v>250000</v>
      </c>
      <c r="S19" s="58">
        <v>250000</v>
      </c>
      <c r="T19" s="58">
        <v>250000</v>
      </c>
      <c r="U19" s="58">
        <v>250000</v>
      </c>
    </row>
    <row r="20" spans="2:22" ht="66" customHeight="1" thickBot="1" x14ac:dyDescent="0.35">
      <c r="B20" s="54">
        <v>16</v>
      </c>
      <c r="C20" s="137"/>
      <c r="D20" s="9" t="s">
        <v>199</v>
      </c>
      <c r="E20" s="14">
        <v>2</v>
      </c>
      <c r="F20" s="19" t="s">
        <v>46</v>
      </c>
      <c r="G20" s="55">
        <f>144456+85723+156651</f>
        <v>386830</v>
      </c>
      <c r="H20" s="61" t="s">
        <v>55</v>
      </c>
      <c r="I20" s="9" t="s">
        <v>26</v>
      </c>
      <c r="J20" s="9">
        <v>2023</v>
      </c>
      <c r="K20" s="62" t="s">
        <v>188</v>
      </c>
      <c r="L20" s="59">
        <v>0.25</v>
      </c>
      <c r="M20" s="15">
        <v>2027</v>
      </c>
      <c r="N20" s="59">
        <v>0.25</v>
      </c>
      <c r="O20" s="15">
        <v>2027</v>
      </c>
      <c r="P20" s="15"/>
      <c r="Q20" s="33">
        <f>1000+20000+40000+2000-20000</f>
        <v>43000</v>
      </c>
      <c r="R20" s="33">
        <v>0</v>
      </c>
      <c r="S20" s="33">
        <v>0</v>
      </c>
      <c r="T20" s="33">
        <v>0</v>
      </c>
      <c r="U20" s="33">
        <v>0</v>
      </c>
      <c r="V20" s="29"/>
    </row>
    <row r="21" spans="2:22" ht="42" customHeight="1" thickBot="1" x14ac:dyDescent="0.35">
      <c r="B21" s="54">
        <v>17</v>
      </c>
      <c r="C21" s="137"/>
      <c r="D21" s="9" t="s">
        <v>200</v>
      </c>
      <c r="E21" s="14"/>
      <c r="F21" s="19"/>
      <c r="G21" s="14">
        <f>1500000+7000000</f>
        <v>8500000</v>
      </c>
      <c r="H21" s="61" t="s">
        <v>201</v>
      </c>
      <c r="I21" s="9" t="s">
        <v>26</v>
      </c>
      <c r="J21" s="9">
        <v>2027</v>
      </c>
      <c r="K21" s="56" t="s">
        <v>183</v>
      </c>
      <c r="L21" s="57" t="s">
        <v>192</v>
      </c>
      <c r="M21" s="4" t="s">
        <v>192</v>
      </c>
      <c r="N21" s="57" t="s">
        <v>192</v>
      </c>
      <c r="O21" s="4" t="s">
        <v>192</v>
      </c>
      <c r="P21" s="15"/>
      <c r="Q21" s="33">
        <v>1500000</v>
      </c>
      <c r="R21" s="33">
        <v>1500000</v>
      </c>
      <c r="S21" s="33">
        <v>1500000</v>
      </c>
      <c r="T21" s="33">
        <v>1500000</v>
      </c>
      <c r="U21" s="33">
        <v>1500000</v>
      </c>
      <c r="V21" s="29"/>
    </row>
    <row r="22" spans="2:22" ht="29.4" thickBot="1" x14ac:dyDescent="0.35">
      <c r="B22" s="54">
        <v>18</v>
      </c>
      <c r="C22" s="138"/>
      <c r="D22" s="9" t="s">
        <v>202</v>
      </c>
      <c r="E22" s="4" t="s">
        <v>203</v>
      </c>
      <c r="F22" s="4" t="s">
        <v>203</v>
      </c>
      <c r="G22" s="55">
        <v>6100000</v>
      </c>
      <c r="H22" s="5" t="s">
        <v>193</v>
      </c>
      <c r="I22" s="3" t="s">
        <v>26</v>
      </c>
      <c r="J22" s="4">
        <v>2027</v>
      </c>
      <c r="K22" s="56" t="s">
        <v>183</v>
      </c>
      <c r="L22" s="57" t="s">
        <v>192</v>
      </c>
      <c r="M22" s="4" t="s">
        <v>192</v>
      </c>
      <c r="N22" s="57" t="s">
        <v>192</v>
      </c>
      <c r="O22" s="4" t="s">
        <v>192</v>
      </c>
      <c r="P22" s="6"/>
      <c r="Q22" s="34"/>
      <c r="R22" s="34">
        <v>1525000</v>
      </c>
      <c r="S22" s="34">
        <v>1525000</v>
      </c>
      <c r="T22" s="34">
        <v>1525000</v>
      </c>
      <c r="U22" s="34">
        <v>1525000</v>
      </c>
    </row>
    <row r="23" spans="2:22" ht="31.8" thickBot="1" x14ac:dyDescent="0.35">
      <c r="B23" s="54">
        <v>19</v>
      </c>
      <c r="C23" s="4" t="s">
        <v>45</v>
      </c>
      <c r="D23" s="5" t="s">
        <v>204</v>
      </c>
      <c r="E23" s="4">
        <f>0.3</f>
        <v>0.3</v>
      </c>
      <c r="F23" s="4" t="s">
        <v>22</v>
      </c>
      <c r="G23" s="55">
        <v>80000</v>
      </c>
      <c r="H23" s="3" t="s">
        <v>137</v>
      </c>
      <c r="I23" s="3" t="s">
        <v>26</v>
      </c>
      <c r="J23" s="4">
        <v>2023</v>
      </c>
      <c r="K23" s="60" t="s">
        <v>187</v>
      </c>
      <c r="L23" s="57">
        <v>7.0000000000000007E-2</v>
      </c>
      <c r="M23" s="4">
        <v>2023</v>
      </c>
      <c r="N23" s="57">
        <v>7.0000000000000007E-2</v>
      </c>
      <c r="O23" s="4">
        <v>2023</v>
      </c>
      <c r="P23" s="4"/>
      <c r="Q23" s="34">
        <f>75000-59200</f>
        <v>15800</v>
      </c>
      <c r="R23" s="34"/>
      <c r="S23" s="34"/>
      <c r="T23" s="34"/>
      <c r="U23" s="34"/>
    </row>
    <row r="24" spans="2:22" x14ac:dyDescent="0.3">
      <c r="E24" s="6"/>
      <c r="F24" s="4"/>
      <c r="G24" s="34"/>
      <c r="H24" s="6"/>
      <c r="I24" s="6"/>
      <c r="J24" s="6"/>
      <c r="K24" s="6"/>
      <c r="L24" s="6"/>
      <c r="M24" s="6"/>
      <c r="N24" s="6" t="s">
        <v>205</v>
      </c>
      <c r="O24" s="6"/>
      <c r="P24" s="6"/>
      <c r="Q24" s="34">
        <f>SUM(Q5:Q23)</f>
        <v>14414835</v>
      </c>
      <c r="R24" s="34">
        <f>SUM(R5:R23)</f>
        <v>11999786</v>
      </c>
      <c r="S24" s="34">
        <f>SUM(S5:S23)</f>
        <v>10030000</v>
      </c>
      <c r="T24" s="34">
        <f>SUM(T5:T23)</f>
        <v>9515000</v>
      </c>
      <c r="U24" s="34">
        <f>SUM(U5:U23)</f>
        <v>9040000</v>
      </c>
    </row>
    <row r="25" spans="2:22" x14ac:dyDescent="0.3">
      <c r="E25" s="6"/>
      <c r="F25" s="6"/>
      <c r="G25" s="6"/>
      <c r="H25" s="6"/>
      <c r="I25" s="6"/>
      <c r="J25" s="6"/>
      <c r="K25" s="6"/>
      <c r="L25" s="6"/>
      <c r="M25" s="6"/>
      <c r="N25" s="6" t="s">
        <v>206</v>
      </c>
      <c r="O25" s="6"/>
      <c r="P25" s="6"/>
      <c r="Q25" s="6"/>
      <c r="R25" s="139">
        <f>Q24+R24+S24+T24+U24</f>
        <v>54999621</v>
      </c>
      <c r="S25" s="140"/>
      <c r="T25" s="140"/>
      <c r="U25" s="140"/>
    </row>
    <row r="26" spans="2:22" x14ac:dyDescent="0.3">
      <c r="Q26" s="47">
        <v>2023</v>
      </c>
      <c r="R26" s="47">
        <v>2024</v>
      </c>
      <c r="S26" s="47">
        <v>2025</v>
      </c>
      <c r="T26" s="47">
        <v>2026</v>
      </c>
      <c r="U26" s="47">
        <v>2027</v>
      </c>
      <c r="V26" t="s">
        <v>207</v>
      </c>
    </row>
    <row r="27" spans="2:22" x14ac:dyDescent="0.3">
      <c r="J27" t="s">
        <v>208</v>
      </c>
      <c r="N27" s="65" t="s">
        <v>209</v>
      </c>
      <c r="Q27">
        <f>Q15+Q20+Q9</f>
        <v>2281167</v>
      </c>
      <c r="R27">
        <f>R15+R20+R9</f>
        <v>100000</v>
      </c>
      <c r="S27">
        <f>S15+S20+S9</f>
        <v>0</v>
      </c>
      <c r="T27">
        <f>T15+T20+T9</f>
        <v>0</v>
      </c>
      <c r="U27">
        <f>U15+U20+U9</f>
        <v>0</v>
      </c>
    </row>
    <row r="28" spans="2:22" x14ac:dyDescent="0.3">
      <c r="J28" t="s">
        <v>210</v>
      </c>
      <c r="N28" s="66" t="s">
        <v>211</v>
      </c>
      <c r="Q28" s="27">
        <f>Q5+Q6+Q7+Q10+Q11+Q14+Q16+Q18+Q19+Q21+Q22</f>
        <v>10866468</v>
      </c>
      <c r="R28" s="27">
        <f>R5+R6+R7+R10+R11+R14+R16+R18+R19+R21+R22</f>
        <v>11299786</v>
      </c>
      <c r="S28" s="27">
        <f>S5+S6+S7+S10+S11+S14+S16+S18+S19+S21+S22</f>
        <v>9330000</v>
      </c>
      <c r="T28" s="27">
        <f>T5+T6+T7+T10+T11+T14+T16+T18+T19+T21+T22</f>
        <v>8815000</v>
      </c>
      <c r="U28" s="27">
        <f>U5+U6+U7+U10+U11+U14+U16+U18+U19+U21+U22</f>
        <v>8340000</v>
      </c>
    </row>
    <row r="29" spans="2:22" x14ac:dyDescent="0.3">
      <c r="J29" t="s">
        <v>212</v>
      </c>
      <c r="N29" s="67" t="s">
        <v>213</v>
      </c>
      <c r="Q29">
        <f>Q8+Q17+Q23+Q12+Q13</f>
        <v>1267200</v>
      </c>
      <c r="R29">
        <f>R8+R17+R23+R12+R13</f>
        <v>600000</v>
      </c>
      <c r="S29">
        <f>S8+S17+S23+S12+S13</f>
        <v>700000</v>
      </c>
      <c r="T29">
        <f>T8+T17+T23+T12+T13</f>
        <v>700000</v>
      </c>
      <c r="U29">
        <f>U8+U17+U23+U12+U13</f>
        <v>700000</v>
      </c>
    </row>
    <row r="30" spans="2:22" x14ac:dyDescent="0.3">
      <c r="V30">
        <f>R25</f>
        <v>54999621</v>
      </c>
    </row>
    <row r="31" spans="2:22" x14ac:dyDescent="0.3">
      <c r="L31" s="47" t="s">
        <v>214</v>
      </c>
      <c r="Q31" s="68">
        <f>Q24+'plan de investitii'!R144</f>
        <v>22005168</v>
      </c>
      <c r="R31" s="68">
        <f>R24+'plan de investitii'!S144</f>
        <v>30001786</v>
      </c>
      <c r="S31" s="68">
        <f>S24+'plan de investitii'!T144</f>
        <v>30025000</v>
      </c>
      <c r="T31" s="68">
        <f>T24+'plan de investitii'!U144</f>
        <v>30020000</v>
      </c>
      <c r="U31" s="68">
        <f>U24+'plan de investitii'!V144</f>
        <v>30005000</v>
      </c>
    </row>
    <row r="33" spans="16:21" x14ac:dyDescent="0.3">
      <c r="Q33">
        <v>20588868</v>
      </c>
    </row>
    <row r="35" spans="16:21" x14ac:dyDescent="0.3">
      <c r="Q35" s="27">
        <f>Q33-Q31</f>
        <v>-1416300</v>
      </c>
    </row>
    <row r="36" spans="16:21" x14ac:dyDescent="0.3">
      <c r="Q36" s="48">
        <v>2023</v>
      </c>
      <c r="R36" s="48">
        <v>2024</v>
      </c>
      <c r="S36" s="48">
        <v>2025</v>
      </c>
      <c r="T36" s="48">
        <v>2026</v>
      </c>
      <c r="U36" s="48">
        <v>2027</v>
      </c>
    </row>
    <row r="37" spans="16:21" x14ac:dyDescent="0.3">
      <c r="P37" s="49" t="s">
        <v>151</v>
      </c>
      <c r="Q37" s="34">
        <f>Q9+Q15+Q20</f>
        <v>2281167</v>
      </c>
      <c r="R37" s="34">
        <f>R9+R15+R20</f>
        <v>100000</v>
      </c>
      <c r="S37" s="34">
        <f>S9+S15+S20</f>
        <v>0</v>
      </c>
      <c r="T37" s="34">
        <f>T9+T15+T20</f>
        <v>0</v>
      </c>
      <c r="U37" s="34">
        <f>U9+U15+U20</f>
        <v>0</v>
      </c>
    </row>
    <row r="38" spans="16:21" x14ac:dyDescent="0.3">
      <c r="P38" s="49" t="s">
        <v>152</v>
      </c>
      <c r="Q38" s="34">
        <f>0</f>
        <v>0</v>
      </c>
      <c r="R38" s="34">
        <f>0</f>
        <v>0</v>
      </c>
      <c r="S38" s="34">
        <f>0</f>
        <v>0</v>
      </c>
      <c r="T38" s="34">
        <f>0</f>
        <v>0</v>
      </c>
      <c r="U38" s="34">
        <f>0</f>
        <v>0</v>
      </c>
    </row>
    <row r="39" spans="16:21" x14ac:dyDescent="0.3">
      <c r="P39" s="50" t="s">
        <v>151</v>
      </c>
      <c r="Q39" s="34">
        <f>Q5+Q6+Q10/2+Q11/2+Q14+Q18/2+Q19/2+Q21/2+Q22/2</f>
        <v>7756184</v>
      </c>
      <c r="R39" s="34">
        <f>R5+R6+R10/2+R11/2+R14+R18/2+R19/2+R21/2+R22/2</f>
        <v>6422286</v>
      </c>
      <c r="S39" s="34">
        <f>S5+S6+S10/2+S11/2+S14+S18/2+S19/2+S21/2+S22/2</f>
        <v>5397500</v>
      </c>
      <c r="T39" s="34">
        <f>T5+T6+T10/2+T11/2+T14+T18/2+T19/2+T21/2+T22/2</f>
        <v>5140000</v>
      </c>
      <c r="U39" s="34">
        <f>U5+U6+U10/2+U11/2+U14+U18/2+U19/2+U21/2+U22/2</f>
        <v>4877500</v>
      </c>
    </row>
    <row r="40" spans="16:21" x14ac:dyDescent="0.3">
      <c r="P40" s="50" t="s">
        <v>152</v>
      </c>
      <c r="Q40" s="34">
        <f>Q7+Q10/2+Q11/2+Q16+Q18/2+Q19/2+Q21/2+Q22/2</f>
        <v>3110284</v>
      </c>
      <c r="R40" s="34">
        <f>R7+R10/2+R11/2+R16+R18/2+R19/2+R21/2+R22/2</f>
        <v>4877500</v>
      </c>
      <c r="S40" s="34">
        <f>S7+S10/2+S11/2+S16+S18/2+S19/2+S21/2+S22/2</f>
        <v>3932500</v>
      </c>
      <c r="T40" s="34">
        <f>T7+T10/2+T11/2+T16+T18/2+T19/2+T21/2+T22/2</f>
        <v>3675000</v>
      </c>
      <c r="U40" s="34">
        <f>U7+U10/2+U11/2+U16+U18/2+U19/2+U21/2+U22/2</f>
        <v>3462500</v>
      </c>
    </row>
    <row r="41" spans="16:21" x14ac:dyDescent="0.3">
      <c r="P41" s="51" t="s">
        <v>151</v>
      </c>
      <c r="Q41" s="34">
        <f>Q12/2+Q13/2</f>
        <v>622000</v>
      </c>
      <c r="R41" s="34">
        <f>R12/2+R13/2</f>
        <v>300000</v>
      </c>
      <c r="S41" s="34">
        <f>S12/2+S13/2</f>
        <v>350000</v>
      </c>
      <c r="T41" s="34">
        <f>T12/2+T13/2</f>
        <v>350000</v>
      </c>
      <c r="U41" s="34">
        <f>U12/2+U13/2</f>
        <v>350000</v>
      </c>
    </row>
    <row r="42" spans="16:21" x14ac:dyDescent="0.3">
      <c r="P42" s="51" t="s">
        <v>152</v>
      </c>
      <c r="Q42" s="34">
        <f>Q8+Q12/2+Q13/2+Q17+Q23</f>
        <v>645200</v>
      </c>
      <c r="R42" s="34">
        <f>R8+R12/2+R13/2+R17+R23</f>
        <v>300000</v>
      </c>
      <c r="S42" s="34">
        <f>S8+S12/2+S13/2+S17+S23</f>
        <v>350000</v>
      </c>
      <c r="T42" s="34">
        <f>T8+T12/2+T13/2+T17+T23</f>
        <v>350000</v>
      </c>
      <c r="U42" s="34">
        <f>U8+U12/2+U13/2+U17+U23</f>
        <v>350000</v>
      </c>
    </row>
    <row r="43" spans="16:21" x14ac:dyDescent="0.3">
      <c r="P43" s="6"/>
      <c r="Q43" s="34">
        <f>SUM(Q37:Q42)</f>
        <v>14414835</v>
      </c>
      <c r="R43" s="34">
        <f>SUM(R37:R42)</f>
        <v>11999786</v>
      </c>
      <c r="S43" s="34">
        <f>SUM(S37:S42)</f>
        <v>10030000</v>
      </c>
      <c r="T43" s="34">
        <f>SUM(T37:T42)</f>
        <v>9515000</v>
      </c>
      <c r="U43" s="34">
        <f>SUM(U37:U42)</f>
        <v>9040000</v>
      </c>
    </row>
  </sheetData>
  <mergeCells count="9">
    <mergeCell ref="D1:P1"/>
    <mergeCell ref="C12:C22"/>
    <mergeCell ref="R25:U25"/>
    <mergeCell ref="B2:J2"/>
    <mergeCell ref="B3:B4"/>
    <mergeCell ref="C3:J3"/>
    <mergeCell ref="K3:O3"/>
    <mergeCell ref="R3:U3"/>
    <mergeCell ref="C5:C11"/>
  </mergeCells>
  <pageMargins left="0" right="0" top="0.74803149606299213" bottom="0.15748031496062992" header="0.31496062992125984" footer="0"/>
  <pageSetup paperSize="8" scale="7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710BC-24CC-4CCD-8D13-D3F8E1F16713}">
  <dimension ref="A1:M71"/>
  <sheetViews>
    <sheetView tabSelected="1" zoomScale="150" zoomScaleNormal="150" workbookViewId="0">
      <selection sqref="A1:M1"/>
    </sheetView>
  </sheetViews>
  <sheetFormatPr defaultRowHeight="14.4" x14ac:dyDescent="0.3"/>
  <cols>
    <col min="1" max="1" width="30.44140625" bestFit="1" customWidth="1"/>
    <col min="3" max="4" width="10.33203125" bestFit="1" customWidth="1"/>
    <col min="5" max="9" width="11.33203125" bestFit="1" customWidth="1"/>
    <col min="257" max="257" width="30.44140625" bestFit="1" customWidth="1"/>
    <col min="259" max="260" width="10.33203125" bestFit="1" customWidth="1"/>
    <col min="261" max="265" width="11.33203125" bestFit="1" customWidth="1"/>
    <col min="513" max="513" width="30.44140625" bestFit="1" customWidth="1"/>
    <col min="515" max="516" width="10.33203125" bestFit="1" customWidth="1"/>
    <col min="517" max="521" width="11.33203125" bestFit="1" customWidth="1"/>
    <col min="769" max="769" width="30.44140625" bestFit="1" customWidth="1"/>
    <col min="771" max="772" width="10.33203125" bestFit="1" customWidth="1"/>
    <col min="773" max="777" width="11.33203125" bestFit="1" customWidth="1"/>
    <col min="1025" max="1025" width="30.44140625" bestFit="1" customWidth="1"/>
    <col min="1027" max="1028" width="10.33203125" bestFit="1" customWidth="1"/>
    <col min="1029" max="1033" width="11.33203125" bestFit="1" customWidth="1"/>
    <col min="1281" max="1281" width="30.44140625" bestFit="1" customWidth="1"/>
    <col min="1283" max="1284" width="10.33203125" bestFit="1" customWidth="1"/>
    <col min="1285" max="1289" width="11.33203125" bestFit="1" customWidth="1"/>
    <col min="1537" max="1537" width="30.44140625" bestFit="1" customWidth="1"/>
    <col min="1539" max="1540" width="10.33203125" bestFit="1" customWidth="1"/>
    <col min="1541" max="1545" width="11.33203125" bestFit="1" customWidth="1"/>
    <col min="1793" max="1793" width="30.44140625" bestFit="1" customWidth="1"/>
    <col min="1795" max="1796" width="10.33203125" bestFit="1" customWidth="1"/>
    <col min="1797" max="1801" width="11.33203125" bestFit="1" customWidth="1"/>
    <col min="2049" max="2049" width="30.44140625" bestFit="1" customWidth="1"/>
    <col min="2051" max="2052" width="10.33203125" bestFit="1" customWidth="1"/>
    <col min="2053" max="2057" width="11.33203125" bestFit="1" customWidth="1"/>
    <col min="2305" max="2305" width="30.44140625" bestFit="1" customWidth="1"/>
    <col min="2307" max="2308" width="10.33203125" bestFit="1" customWidth="1"/>
    <col min="2309" max="2313" width="11.33203125" bestFit="1" customWidth="1"/>
    <col min="2561" max="2561" width="30.44140625" bestFit="1" customWidth="1"/>
    <col min="2563" max="2564" width="10.33203125" bestFit="1" customWidth="1"/>
    <col min="2565" max="2569" width="11.33203125" bestFit="1" customWidth="1"/>
    <col min="2817" max="2817" width="30.44140625" bestFit="1" customWidth="1"/>
    <col min="2819" max="2820" width="10.33203125" bestFit="1" customWidth="1"/>
    <col min="2821" max="2825" width="11.33203125" bestFit="1" customWidth="1"/>
    <col min="3073" max="3073" width="30.44140625" bestFit="1" customWidth="1"/>
    <col min="3075" max="3076" width="10.33203125" bestFit="1" customWidth="1"/>
    <col min="3077" max="3081" width="11.33203125" bestFit="1" customWidth="1"/>
    <col min="3329" max="3329" width="30.44140625" bestFit="1" customWidth="1"/>
    <col min="3331" max="3332" width="10.33203125" bestFit="1" customWidth="1"/>
    <col min="3333" max="3337" width="11.33203125" bestFit="1" customWidth="1"/>
    <col min="3585" max="3585" width="30.44140625" bestFit="1" customWidth="1"/>
    <col min="3587" max="3588" width="10.33203125" bestFit="1" customWidth="1"/>
    <col min="3589" max="3593" width="11.33203125" bestFit="1" customWidth="1"/>
    <col min="3841" max="3841" width="30.44140625" bestFit="1" customWidth="1"/>
    <col min="3843" max="3844" width="10.33203125" bestFit="1" customWidth="1"/>
    <col min="3845" max="3849" width="11.33203125" bestFit="1" customWidth="1"/>
    <col min="4097" max="4097" width="30.44140625" bestFit="1" customWidth="1"/>
    <col min="4099" max="4100" width="10.33203125" bestFit="1" customWidth="1"/>
    <col min="4101" max="4105" width="11.33203125" bestFit="1" customWidth="1"/>
    <col min="4353" max="4353" width="30.44140625" bestFit="1" customWidth="1"/>
    <col min="4355" max="4356" width="10.33203125" bestFit="1" customWidth="1"/>
    <col min="4357" max="4361" width="11.33203125" bestFit="1" customWidth="1"/>
    <col min="4609" max="4609" width="30.44140625" bestFit="1" customWidth="1"/>
    <col min="4611" max="4612" width="10.33203125" bestFit="1" customWidth="1"/>
    <col min="4613" max="4617" width="11.33203125" bestFit="1" customWidth="1"/>
    <col min="4865" max="4865" width="30.44140625" bestFit="1" customWidth="1"/>
    <col min="4867" max="4868" width="10.33203125" bestFit="1" customWidth="1"/>
    <col min="4869" max="4873" width="11.33203125" bestFit="1" customWidth="1"/>
    <col min="5121" max="5121" width="30.44140625" bestFit="1" customWidth="1"/>
    <col min="5123" max="5124" width="10.33203125" bestFit="1" customWidth="1"/>
    <col min="5125" max="5129" width="11.33203125" bestFit="1" customWidth="1"/>
    <col min="5377" max="5377" width="30.44140625" bestFit="1" customWidth="1"/>
    <col min="5379" max="5380" width="10.33203125" bestFit="1" customWidth="1"/>
    <col min="5381" max="5385" width="11.33203125" bestFit="1" customWidth="1"/>
    <col min="5633" max="5633" width="30.44140625" bestFit="1" customWidth="1"/>
    <col min="5635" max="5636" width="10.33203125" bestFit="1" customWidth="1"/>
    <col min="5637" max="5641" width="11.33203125" bestFit="1" customWidth="1"/>
    <col min="5889" max="5889" width="30.44140625" bestFit="1" customWidth="1"/>
    <col min="5891" max="5892" width="10.33203125" bestFit="1" customWidth="1"/>
    <col min="5893" max="5897" width="11.33203125" bestFit="1" customWidth="1"/>
    <col min="6145" max="6145" width="30.44140625" bestFit="1" customWidth="1"/>
    <col min="6147" max="6148" width="10.33203125" bestFit="1" customWidth="1"/>
    <col min="6149" max="6153" width="11.33203125" bestFit="1" customWidth="1"/>
    <col min="6401" max="6401" width="30.44140625" bestFit="1" customWidth="1"/>
    <col min="6403" max="6404" width="10.33203125" bestFit="1" customWidth="1"/>
    <col min="6405" max="6409" width="11.33203125" bestFit="1" customWidth="1"/>
    <col min="6657" max="6657" width="30.44140625" bestFit="1" customWidth="1"/>
    <col min="6659" max="6660" width="10.33203125" bestFit="1" customWidth="1"/>
    <col min="6661" max="6665" width="11.33203125" bestFit="1" customWidth="1"/>
    <col min="6913" max="6913" width="30.44140625" bestFit="1" customWidth="1"/>
    <col min="6915" max="6916" width="10.33203125" bestFit="1" customWidth="1"/>
    <col min="6917" max="6921" width="11.33203125" bestFit="1" customWidth="1"/>
    <col min="7169" max="7169" width="30.44140625" bestFit="1" customWidth="1"/>
    <col min="7171" max="7172" width="10.33203125" bestFit="1" customWidth="1"/>
    <col min="7173" max="7177" width="11.33203125" bestFit="1" customWidth="1"/>
    <col min="7425" max="7425" width="30.44140625" bestFit="1" customWidth="1"/>
    <col min="7427" max="7428" width="10.33203125" bestFit="1" customWidth="1"/>
    <col min="7429" max="7433" width="11.33203125" bestFit="1" customWidth="1"/>
    <col min="7681" max="7681" width="30.44140625" bestFit="1" customWidth="1"/>
    <col min="7683" max="7684" width="10.33203125" bestFit="1" customWidth="1"/>
    <col min="7685" max="7689" width="11.33203125" bestFit="1" customWidth="1"/>
    <col min="7937" max="7937" width="30.44140625" bestFit="1" customWidth="1"/>
    <col min="7939" max="7940" width="10.33203125" bestFit="1" customWidth="1"/>
    <col min="7941" max="7945" width="11.33203125" bestFit="1" customWidth="1"/>
    <col min="8193" max="8193" width="30.44140625" bestFit="1" customWidth="1"/>
    <col min="8195" max="8196" width="10.33203125" bestFit="1" customWidth="1"/>
    <col min="8197" max="8201" width="11.33203125" bestFit="1" customWidth="1"/>
    <col min="8449" max="8449" width="30.44140625" bestFit="1" customWidth="1"/>
    <col min="8451" max="8452" width="10.33203125" bestFit="1" customWidth="1"/>
    <col min="8453" max="8457" width="11.33203125" bestFit="1" customWidth="1"/>
    <col min="8705" max="8705" width="30.44140625" bestFit="1" customWidth="1"/>
    <col min="8707" max="8708" width="10.33203125" bestFit="1" customWidth="1"/>
    <col min="8709" max="8713" width="11.33203125" bestFit="1" customWidth="1"/>
    <col min="8961" max="8961" width="30.44140625" bestFit="1" customWidth="1"/>
    <col min="8963" max="8964" width="10.33203125" bestFit="1" customWidth="1"/>
    <col min="8965" max="8969" width="11.33203125" bestFit="1" customWidth="1"/>
    <col min="9217" max="9217" width="30.44140625" bestFit="1" customWidth="1"/>
    <col min="9219" max="9220" width="10.33203125" bestFit="1" customWidth="1"/>
    <col min="9221" max="9225" width="11.33203125" bestFit="1" customWidth="1"/>
    <col min="9473" max="9473" width="30.44140625" bestFit="1" customWidth="1"/>
    <col min="9475" max="9476" width="10.33203125" bestFit="1" customWidth="1"/>
    <col min="9477" max="9481" width="11.33203125" bestFit="1" customWidth="1"/>
    <col min="9729" max="9729" width="30.44140625" bestFit="1" customWidth="1"/>
    <col min="9731" max="9732" width="10.33203125" bestFit="1" customWidth="1"/>
    <col min="9733" max="9737" width="11.33203125" bestFit="1" customWidth="1"/>
    <col min="9985" max="9985" width="30.44140625" bestFit="1" customWidth="1"/>
    <col min="9987" max="9988" width="10.33203125" bestFit="1" customWidth="1"/>
    <col min="9989" max="9993" width="11.33203125" bestFit="1" customWidth="1"/>
    <col min="10241" max="10241" width="30.44140625" bestFit="1" customWidth="1"/>
    <col min="10243" max="10244" width="10.33203125" bestFit="1" customWidth="1"/>
    <col min="10245" max="10249" width="11.33203125" bestFit="1" customWidth="1"/>
    <col min="10497" max="10497" width="30.44140625" bestFit="1" customWidth="1"/>
    <col min="10499" max="10500" width="10.33203125" bestFit="1" customWidth="1"/>
    <col min="10501" max="10505" width="11.33203125" bestFit="1" customWidth="1"/>
    <col min="10753" max="10753" width="30.44140625" bestFit="1" customWidth="1"/>
    <col min="10755" max="10756" width="10.33203125" bestFit="1" customWidth="1"/>
    <col min="10757" max="10761" width="11.33203125" bestFit="1" customWidth="1"/>
    <col min="11009" max="11009" width="30.44140625" bestFit="1" customWidth="1"/>
    <col min="11011" max="11012" width="10.33203125" bestFit="1" customWidth="1"/>
    <col min="11013" max="11017" width="11.33203125" bestFit="1" customWidth="1"/>
    <col min="11265" max="11265" width="30.44140625" bestFit="1" customWidth="1"/>
    <col min="11267" max="11268" width="10.33203125" bestFit="1" customWidth="1"/>
    <col min="11269" max="11273" width="11.33203125" bestFit="1" customWidth="1"/>
    <col min="11521" max="11521" width="30.44140625" bestFit="1" customWidth="1"/>
    <col min="11523" max="11524" width="10.33203125" bestFit="1" customWidth="1"/>
    <col min="11525" max="11529" width="11.33203125" bestFit="1" customWidth="1"/>
    <col min="11777" max="11777" width="30.44140625" bestFit="1" customWidth="1"/>
    <col min="11779" max="11780" width="10.33203125" bestFit="1" customWidth="1"/>
    <col min="11781" max="11785" width="11.33203125" bestFit="1" customWidth="1"/>
    <col min="12033" max="12033" width="30.44140625" bestFit="1" customWidth="1"/>
    <col min="12035" max="12036" width="10.33203125" bestFit="1" customWidth="1"/>
    <col min="12037" max="12041" width="11.33203125" bestFit="1" customWidth="1"/>
    <col min="12289" max="12289" width="30.44140625" bestFit="1" customWidth="1"/>
    <col min="12291" max="12292" width="10.33203125" bestFit="1" customWidth="1"/>
    <col min="12293" max="12297" width="11.33203125" bestFit="1" customWidth="1"/>
    <col min="12545" max="12545" width="30.44140625" bestFit="1" customWidth="1"/>
    <col min="12547" max="12548" width="10.33203125" bestFit="1" customWidth="1"/>
    <col min="12549" max="12553" width="11.33203125" bestFit="1" customWidth="1"/>
    <col min="12801" max="12801" width="30.44140625" bestFit="1" customWidth="1"/>
    <col min="12803" max="12804" width="10.33203125" bestFit="1" customWidth="1"/>
    <col min="12805" max="12809" width="11.33203125" bestFit="1" customWidth="1"/>
    <col min="13057" max="13057" width="30.44140625" bestFit="1" customWidth="1"/>
    <col min="13059" max="13060" width="10.33203125" bestFit="1" customWidth="1"/>
    <col min="13061" max="13065" width="11.33203125" bestFit="1" customWidth="1"/>
    <col min="13313" max="13313" width="30.44140625" bestFit="1" customWidth="1"/>
    <col min="13315" max="13316" width="10.33203125" bestFit="1" customWidth="1"/>
    <col min="13317" max="13321" width="11.33203125" bestFit="1" customWidth="1"/>
    <col min="13569" max="13569" width="30.44140625" bestFit="1" customWidth="1"/>
    <col min="13571" max="13572" width="10.33203125" bestFit="1" customWidth="1"/>
    <col min="13573" max="13577" width="11.33203125" bestFit="1" customWidth="1"/>
    <col min="13825" max="13825" width="30.44140625" bestFit="1" customWidth="1"/>
    <col min="13827" max="13828" width="10.33203125" bestFit="1" customWidth="1"/>
    <col min="13829" max="13833" width="11.33203125" bestFit="1" customWidth="1"/>
    <col min="14081" max="14081" width="30.44140625" bestFit="1" customWidth="1"/>
    <col min="14083" max="14084" width="10.33203125" bestFit="1" customWidth="1"/>
    <col min="14085" max="14089" width="11.33203125" bestFit="1" customWidth="1"/>
    <col min="14337" max="14337" width="30.44140625" bestFit="1" customWidth="1"/>
    <col min="14339" max="14340" width="10.33203125" bestFit="1" customWidth="1"/>
    <col min="14341" max="14345" width="11.33203125" bestFit="1" customWidth="1"/>
    <col min="14593" max="14593" width="30.44140625" bestFit="1" customWidth="1"/>
    <col min="14595" max="14596" width="10.33203125" bestFit="1" customWidth="1"/>
    <col min="14597" max="14601" width="11.33203125" bestFit="1" customWidth="1"/>
    <col min="14849" max="14849" width="30.44140625" bestFit="1" customWidth="1"/>
    <col min="14851" max="14852" width="10.33203125" bestFit="1" customWidth="1"/>
    <col min="14853" max="14857" width="11.33203125" bestFit="1" customWidth="1"/>
    <col min="15105" max="15105" width="30.44140625" bestFit="1" customWidth="1"/>
    <col min="15107" max="15108" width="10.33203125" bestFit="1" customWidth="1"/>
    <col min="15109" max="15113" width="11.33203125" bestFit="1" customWidth="1"/>
    <col min="15361" max="15361" width="30.44140625" bestFit="1" customWidth="1"/>
    <col min="15363" max="15364" width="10.33203125" bestFit="1" customWidth="1"/>
    <col min="15365" max="15369" width="11.33203125" bestFit="1" customWidth="1"/>
    <col min="15617" max="15617" width="30.44140625" bestFit="1" customWidth="1"/>
    <col min="15619" max="15620" width="10.33203125" bestFit="1" customWidth="1"/>
    <col min="15621" max="15625" width="11.33203125" bestFit="1" customWidth="1"/>
    <col min="15873" max="15873" width="30.44140625" bestFit="1" customWidth="1"/>
    <col min="15875" max="15876" width="10.33203125" bestFit="1" customWidth="1"/>
    <col min="15877" max="15881" width="11.33203125" bestFit="1" customWidth="1"/>
    <col min="16129" max="16129" width="30.44140625" bestFit="1" customWidth="1"/>
    <col min="16131" max="16132" width="10.33203125" bestFit="1" customWidth="1"/>
    <col min="16133" max="16137" width="11.33203125" bestFit="1" customWidth="1"/>
  </cols>
  <sheetData>
    <row r="1" spans="1:13" ht="23.4" x14ac:dyDescent="0.3">
      <c r="A1" s="136" t="s">
        <v>217</v>
      </c>
      <c r="B1" s="136"/>
      <c r="C1" s="136"/>
      <c r="D1" s="136"/>
      <c r="E1" s="136"/>
      <c r="F1" s="136"/>
      <c r="G1" s="136"/>
      <c r="H1" s="136"/>
      <c r="I1" s="136"/>
      <c r="J1" s="136"/>
      <c r="K1" s="136"/>
      <c r="L1" s="136"/>
      <c r="M1" s="136"/>
    </row>
    <row r="3" spans="1:13" x14ac:dyDescent="0.3">
      <c r="A3" s="69" t="s">
        <v>215</v>
      </c>
      <c r="C3" s="48">
        <v>2023</v>
      </c>
      <c r="D3" s="48">
        <v>2024</v>
      </c>
      <c r="E3" s="48">
        <v>2025</v>
      </c>
      <c r="F3" s="48">
        <v>2026</v>
      </c>
      <c r="G3" s="48">
        <v>2027</v>
      </c>
      <c r="H3" s="48">
        <v>2028</v>
      </c>
      <c r="I3" s="48">
        <v>2029</v>
      </c>
    </row>
    <row r="4" spans="1:13" x14ac:dyDescent="0.3">
      <c r="A4" s="6" t="s">
        <v>150</v>
      </c>
      <c r="B4" s="49" t="s">
        <v>151</v>
      </c>
      <c r="C4" s="34">
        <v>2558333</v>
      </c>
      <c r="D4" s="34">
        <v>10355000</v>
      </c>
      <c r="E4" s="34">
        <v>11575000</v>
      </c>
      <c r="F4" s="34">
        <v>10490000</v>
      </c>
      <c r="G4" s="34">
        <v>11450000</v>
      </c>
      <c r="H4" s="34">
        <v>0</v>
      </c>
      <c r="I4" s="34">
        <v>0</v>
      </c>
    </row>
    <row r="5" spans="1:13" x14ac:dyDescent="0.3">
      <c r="A5" s="6"/>
      <c r="B5" s="49" t="s">
        <v>152</v>
      </c>
      <c r="C5" s="34">
        <v>1300000</v>
      </c>
      <c r="D5" s="34">
        <v>4700000</v>
      </c>
      <c r="E5" s="34">
        <v>500000</v>
      </c>
      <c r="F5" s="34">
        <v>4000000</v>
      </c>
      <c r="G5" s="34">
        <v>5500000</v>
      </c>
      <c r="H5" s="34">
        <v>0</v>
      </c>
      <c r="I5" s="34">
        <v>0</v>
      </c>
    </row>
    <row r="6" spans="1:13" x14ac:dyDescent="0.3">
      <c r="A6" s="6" t="s">
        <v>153</v>
      </c>
      <c r="B6" s="50" t="s">
        <v>151</v>
      </c>
      <c r="C6" s="6">
        <v>3435000</v>
      </c>
      <c r="D6" s="6">
        <v>1750000</v>
      </c>
      <c r="E6" s="6">
        <v>3440000</v>
      </c>
      <c r="F6" s="6">
        <v>1875000</v>
      </c>
      <c r="G6" s="6">
        <v>1500000</v>
      </c>
      <c r="H6" s="6">
        <v>500000</v>
      </c>
      <c r="I6" s="6">
        <v>500000</v>
      </c>
    </row>
    <row r="7" spans="1:13" x14ac:dyDescent="0.3">
      <c r="A7" s="6"/>
      <c r="B7" s="50" t="s">
        <v>152</v>
      </c>
      <c r="C7" s="6">
        <v>112000</v>
      </c>
      <c r="D7" s="6">
        <v>250000</v>
      </c>
      <c r="E7" s="6">
        <v>940000</v>
      </c>
      <c r="F7" s="6">
        <v>275000</v>
      </c>
      <c r="G7" s="6">
        <v>0</v>
      </c>
      <c r="H7" s="6">
        <v>0</v>
      </c>
      <c r="I7" s="6">
        <v>0</v>
      </c>
    </row>
    <row r="8" spans="1:13" x14ac:dyDescent="0.3">
      <c r="A8" s="6" t="s">
        <v>154</v>
      </c>
      <c r="B8" s="51" t="s">
        <v>151</v>
      </c>
      <c r="C8" s="6">
        <v>0</v>
      </c>
      <c r="D8" s="6">
        <v>0</v>
      </c>
      <c r="E8" s="6">
        <v>0</v>
      </c>
      <c r="F8" s="6">
        <v>0</v>
      </c>
      <c r="G8" s="6">
        <v>0</v>
      </c>
      <c r="H8" s="6">
        <v>0</v>
      </c>
      <c r="I8" s="6">
        <v>0</v>
      </c>
    </row>
    <row r="9" spans="1:13" x14ac:dyDescent="0.3">
      <c r="A9" s="6"/>
      <c r="B9" s="51" t="s">
        <v>152</v>
      </c>
      <c r="C9" s="34">
        <v>185000</v>
      </c>
      <c r="D9" s="34">
        <v>947000</v>
      </c>
      <c r="E9" s="34">
        <v>3540000</v>
      </c>
      <c r="F9" s="34">
        <v>3865000</v>
      </c>
      <c r="G9" s="34">
        <v>2515000</v>
      </c>
      <c r="H9" s="34">
        <v>0</v>
      </c>
      <c r="I9" s="34">
        <v>0</v>
      </c>
    </row>
    <row r="10" spans="1:13" x14ac:dyDescent="0.3">
      <c r="A10" s="6" t="s">
        <v>109</v>
      </c>
      <c r="B10" s="6"/>
      <c r="C10" s="52">
        <f>SUM(C4:C9)</f>
        <v>7590333</v>
      </c>
      <c r="D10" s="52">
        <f t="shared" ref="D10:I10" si="0">SUM(D4:D9)</f>
        <v>18002000</v>
      </c>
      <c r="E10" s="52">
        <f t="shared" si="0"/>
        <v>19995000</v>
      </c>
      <c r="F10" s="52">
        <f t="shared" si="0"/>
        <v>20505000</v>
      </c>
      <c r="G10" s="52">
        <f t="shared" si="0"/>
        <v>20965000</v>
      </c>
      <c r="H10" s="52">
        <f t="shared" si="0"/>
        <v>500000</v>
      </c>
      <c r="I10" s="52">
        <f t="shared" si="0"/>
        <v>500000</v>
      </c>
    </row>
    <row r="12" spans="1:13" x14ac:dyDescent="0.3">
      <c r="A12" s="69" t="s">
        <v>216</v>
      </c>
      <c r="C12" s="48">
        <v>2023</v>
      </c>
      <c r="D12" s="48">
        <v>2024</v>
      </c>
      <c r="E12" s="48">
        <v>2025</v>
      </c>
      <c r="F12" s="48">
        <v>2026</v>
      </c>
      <c r="G12" s="48">
        <v>2027</v>
      </c>
      <c r="H12" s="48">
        <v>2028</v>
      </c>
      <c r="I12" s="48">
        <v>2029</v>
      </c>
    </row>
    <row r="13" spans="1:13" x14ac:dyDescent="0.3">
      <c r="A13" s="6" t="s">
        <v>150</v>
      </c>
      <c r="B13" s="49" t="s">
        <v>151</v>
      </c>
      <c r="C13" s="34">
        <v>2281167</v>
      </c>
      <c r="D13" s="34">
        <v>100000</v>
      </c>
      <c r="E13" s="34">
        <v>0</v>
      </c>
      <c r="F13" s="34">
        <v>0</v>
      </c>
      <c r="G13" s="34">
        <v>0</v>
      </c>
      <c r="H13" s="34">
        <v>0</v>
      </c>
      <c r="I13" s="34">
        <v>0</v>
      </c>
    </row>
    <row r="14" spans="1:13" x14ac:dyDescent="0.3">
      <c r="A14" s="6"/>
      <c r="B14" s="49" t="s">
        <v>152</v>
      </c>
      <c r="C14" s="34">
        <v>0</v>
      </c>
      <c r="D14" s="34">
        <v>0</v>
      </c>
      <c r="E14" s="34">
        <v>0</v>
      </c>
      <c r="F14" s="34">
        <v>0</v>
      </c>
      <c r="G14" s="34">
        <v>0</v>
      </c>
      <c r="H14" s="34">
        <v>0</v>
      </c>
      <c r="I14" s="34">
        <v>0</v>
      </c>
    </row>
    <row r="15" spans="1:13" x14ac:dyDescent="0.3">
      <c r="A15" s="6" t="s">
        <v>153</v>
      </c>
      <c r="B15" s="50" t="s">
        <v>151</v>
      </c>
      <c r="C15" s="6">
        <v>7756184</v>
      </c>
      <c r="D15" s="6">
        <v>6422286</v>
      </c>
      <c r="E15" s="6">
        <v>5397500</v>
      </c>
      <c r="F15" s="6">
        <v>5140000</v>
      </c>
      <c r="G15" s="6">
        <v>4877500</v>
      </c>
      <c r="H15" s="34">
        <v>0</v>
      </c>
      <c r="I15" s="34">
        <v>0</v>
      </c>
    </row>
    <row r="16" spans="1:13" x14ac:dyDescent="0.3">
      <c r="A16" s="6"/>
      <c r="B16" s="50" t="s">
        <v>152</v>
      </c>
      <c r="C16" s="6">
        <v>3110284</v>
      </c>
      <c r="D16" s="6">
        <v>4877500</v>
      </c>
      <c r="E16" s="6">
        <v>3932500</v>
      </c>
      <c r="F16" s="6">
        <v>3675000</v>
      </c>
      <c r="G16" s="6">
        <v>3462500</v>
      </c>
      <c r="H16" s="34">
        <v>0</v>
      </c>
      <c r="I16" s="34">
        <v>0</v>
      </c>
    </row>
    <row r="17" spans="1:9" x14ac:dyDescent="0.3">
      <c r="A17" s="6" t="s">
        <v>154</v>
      </c>
      <c r="B17" s="51" t="s">
        <v>151</v>
      </c>
      <c r="C17" s="6">
        <v>622000</v>
      </c>
      <c r="D17" s="6">
        <v>300000</v>
      </c>
      <c r="E17" s="6">
        <v>350000</v>
      </c>
      <c r="F17" s="6">
        <v>350000</v>
      </c>
      <c r="G17" s="6">
        <v>350000</v>
      </c>
      <c r="H17" s="34">
        <v>0</v>
      </c>
      <c r="I17" s="34">
        <v>0</v>
      </c>
    </row>
    <row r="18" spans="1:9" x14ac:dyDescent="0.3">
      <c r="A18" s="6"/>
      <c r="B18" s="51" t="s">
        <v>152</v>
      </c>
      <c r="C18" s="34">
        <v>645200</v>
      </c>
      <c r="D18" s="34">
        <v>300000</v>
      </c>
      <c r="E18" s="34">
        <v>350000</v>
      </c>
      <c r="F18" s="34">
        <v>350000</v>
      </c>
      <c r="G18" s="34">
        <v>350000</v>
      </c>
      <c r="H18" s="34">
        <v>0</v>
      </c>
      <c r="I18" s="34">
        <v>0</v>
      </c>
    </row>
    <row r="19" spans="1:9" x14ac:dyDescent="0.3">
      <c r="A19" s="6" t="s">
        <v>109</v>
      </c>
      <c r="B19" s="6"/>
      <c r="C19" s="52">
        <f>SUM(C13:C18)</f>
        <v>14414835</v>
      </c>
      <c r="D19" s="52">
        <f t="shared" ref="D19:I19" si="1">SUM(D13:D18)</f>
        <v>11999786</v>
      </c>
      <c r="E19" s="52">
        <f t="shared" si="1"/>
        <v>10030000</v>
      </c>
      <c r="F19" s="52">
        <f t="shared" si="1"/>
        <v>9515000</v>
      </c>
      <c r="G19" s="52">
        <f t="shared" si="1"/>
        <v>9040000</v>
      </c>
      <c r="H19" s="52">
        <f t="shared" si="1"/>
        <v>0</v>
      </c>
      <c r="I19" s="52">
        <f t="shared" si="1"/>
        <v>0</v>
      </c>
    </row>
    <row r="20" spans="1:9" ht="15" customHeight="1" x14ac:dyDescent="0.3">
      <c r="C20" s="70"/>
      <c r="D20" s="70"/>
      <c r="E20" s="70"/>
      <c r="F20" s="70"/>
      <c r="G20" s="70"/>
      <c r="H20" s="70"/>
      <c r="I20" s="70"/>
    </row>
    <row r="21" spans="1:9" ht="15" customHeight="1" x14ac:dyDescent="0.3">
      <c r="A21" s="69" t="s">
        <v>109</v>
      </c>
      <c r="C21" s="71">
        <v>2023</v>
      </c>
      <c r="D21" s="71">
        <v>2024</v>
      </c>
      <c r="E21" s="71">
        <v>2025</v>
      </c>
      <c r="F21" s="71">
        <v>2026</v>
      </c>
      <c r="G21" s="71">
        <v>2027</v>
      </c>
      <c r="H21" s="48">
        <v>2028</v>
      </c>
      <c r="I21" s="48">
        <v>2029</v>
      </c>
    </row>
    <row r="22" spans="1:9" ht="15" customHeight="1" x14ac:dyDescent="0.3">
      <c r="A22" s="6" t="s">
        <v>150</v>
      </c>
      <c r="B22" s="49" t="s">
        <v>151</v>
      </c>
      <c r="C22" s="72">
        <f>C4+C13</f>
        <v>4839500</v>
      </c>
      <c r="D22" s="72">
        <f t="shared" ref="D22:I22" si="2">D4+D13</f>
        <v>10455000</v>
      </c>
      <c r="E22" s="72">
        <f t="shared" si="2"/>
        <v>11575000</v>
      </c>
      <c r="F22" s="72">
        <f t="shared" si="2"/>
        <v>10490000</v>
      </c>
      <c r="G22" s="72">
        <f t="shared" si="2"/>
        <v>11450000</v>
      </c>
      <c r="H22" s="34">
        <f t="shared" si="2"/>
        <v>0</v>
      </c>
      <c r="I22" s="34">
        <f t="shared" si="2"/>
        <v>0</v>
      </c>
    </row>
    <row r="23" spans="1:9" ht="15" customHeight="1" x14ac:dyDescent="0.3">
      <c r="A23" s="6"/>
      <c r="B23" s="49" t="s">
        <v>152</v>
      </c>
      <c r="C23" s="34">
        <f t="shared" ref="C23:I27" si="3">C5+C14</f>
        <v>1300000</v>
      </c>
      <c r="D23" s="34">
        <f t="shared" si="3"/>
        <v>4700000</v>
      </c>
      <c r="E23" s="34">
        <f t="shared" si="3"/>
        <v>500000</v>
      </c>
      <c r="F23" s="34">
        <f t="shared" si="3"/>
        <v>4000000</v>
      </c>
      <c r="G23" s="34">
        <f t="shared" si="3"/>
        <v>5500000</v>
      </c>
      <c r="H23" s="34">
        <f t="shared" si="3"/>
        <v>0</v>
      </c>
      <c r="I23" s="34">
        <f t="shared" si="3"/>
        <v>0</v>
      </c>
    </row>
    <row r="24" spans="1:9" ht="15" customHeight="1" x14ac:dyDescent="0.3">
      <c r="A24" s="6" t="s">
        <v>153</v>
      </c>
      <c r="B24" s="50" t="s">
        <v>151</v>
      </c>
      <c r="C24" s="72">
        <f t="shared" si="3"/>
        <v>11191184</v>
      </c>
      <c r="D24" s="72">
        <f t="shared" si="3"/>
        <v>8172286</v>
      </c>
      <c r="E24" s="72">
        <f t="shared" si="3"/>
        <v>8837500</v>
      </c>
      <c r="F24" s="72">
        <f t="shared" si="3"/>
        <v>7015000</v>
      </c>
      <c r="G24" s="72">
        <f t="shared" si="3"/>
        <v>6377500</v>
      </c>
      <c r="H24" s="72">
        <f t="shared" si="3"/>
        <v>500000</v>
      </c>
      <c r="I24" s="72">
        <f t="shared" si="3"/>
        <v>500000</v>
      </c>
    </row>
    <row r="25" spans="1:9" ht="15" customHeight="1" x14ac:dyDescent="0.3">
      <c r="A25" s="6"/>
      <c r="B25" s="50" t="s">
        <v>152</v>
      </c>
      <c r="C25" s="34">
        <f t="shared" si="3"/>
        <v>3222284</v>
      </c>
      <c r="D25" s="34">
        <f t="shared" si="3"/>
        <v>5127500</v>
      </c>
      <c r="E25" s="34">
        <f t="shared" si="3"/>
        <v>4872500</v>
      </c>
      <c r="F25" s="34">
        <f t="shared" si="3"/>
        <v>3950000</v>
      </c>
      <c r="G25" s="34">
        <f t="shared" si="3"/>
        <v>3462500</v>
      </c>
      <c r="H25" s="34">
        <f t="shared" si="3"/>
        <v>0</v>
      </c>
      <c r="I25" s="34">
        <f t="shared" si="3"/>
        <v>0</v>
      </c>
    </row>
    <row r="26" spans="1:9" ht="15" customHeight="1" x14ac:dyDescent="0.3">
      <c r="A26" s="6" t="s">
        <v>154</v>
      </c>
      <c r="B26" s="51" t="s">
        <v>151</v>
      </c>
      <c r="C26" s="72">
        <f t="shared" si="3"/>
        <v>622000</v>
      </c>
      <c r="D26" s="72">
        <f t="shared" si="3"/>
        <v>300000</v>
      </c>
      <c r="E26" s="72">
        <f t="shared" si="3"/>
        <v>350000</v>
      </c>
      <c r="F26" s="72">
        <f t="shared" si="3"/>
        <v>350000</v>
      </c>
      <c r="G26" s="72">
        <f t="shared" si="3"/>
        <v>350000</v>
      </c>
      <c r="H26" s="34">
        <f t="shared" si="3"/>
        <v>0</v>
      </c>
      <c r="I26" s="34">
        <f t="shared" si="3"/>
        <v>0</v>
      </c>
    </row>
    <row r="27" spans="1:9" ht="15" customHeight="1" x14ac:dyDescent="0.3">
      <c r="A27" s="6"/>
      <c r="B27" s="51" t="s">
        <v>152</v>
      </c>
      <c r="C27" s="34">
        <f t="shared" si="3"/>
        <v>830200</v>
      </c>
      <c r="D27" s="34">
        <f t="shared" si="3"/>
        <v>1247000</v>
      </c>
      <c r="E27" s="34">
        <f t="shared" si="3"/>
        <v>3890000</v>
      </c>
      <c r="F27" s="34">
        <f t="shared" si="3"/>
        <v>4215000</v>
      </c>
      <c r="G27" s="34">
        <f t="shared" si="3"/>
        <v>2865000</v>
      </c>
      <c r="H27" s="34">
        <f t="shared" si="3"/>
        <v>0</v>
      </c>
      <c r="I27" s="34">
        <f t="shared" si="3"/>
        <v>0</v>
      </c>
    </row>
    <row r="28" spans="1:9" ht="15" customHeight="1" x14ac:dyDescent="0.3">
      <c r="A28" s="73" t="s">
        <v>109</v>
      </c>
      <c r="B28" s="73"/>
      <c r="C28" s="74">
        <f>SUM(C22:C27)</f>
        <v>22005168</v>
      </c>
      <c r="D28" s="74">
        <f t="shared" ref="D28:I28" si="4">SUM(D22:D27)</f>
        <v>30001786</v>
      </c>
      <c r="E28" s="74">
        <f t="shared" si="4"/>
        <v>30025000</v>
      </c>
      <c r="F28" s="74">
        <f t="shared" si="4"/>
        <v>30020000</v>
      </c>
      <c r="G28" s="74">
        <f t="shared" si="4"/>
        <v>30005000</v>
      </c>
      <c r="H28" s="74">
        <f t="shared" si="4"/>
        <v>500000</v>
      </c>
      <c r="I28" s="74">
        <f t="shared" si="4"/>
        <v>500000</v>
      </c>
    </row>
    <row r="29" spans="1:9" ht="15" customHeight="1" x14ac:dyDescent="0.3">
      <c r="C29" s="70"/>
      <c r="D29" s="70"/>
      <c r="E29" s="70"/>
      <c r="F29" s="70"/>
      <c r="G29" s="70"/>
      <c r="H29" s="70"/>
      <c r="I29" s="70"/>
    </row>
    <row r="30" spans="1:9" x14ac:dyDescent="0.3">
      <c r="C30" s="48">
        <v>2023</v>
      </c>
      <c r="D30" s="48">
        <v>2024</v>
      </c>
      <c r="E30" s="48">
        <v>2025</v>
      </c>
      <c r="F30" s="48">
        <v>2026</v>
      </c>
      <c r="G30" s="48">
        <v>2027</v>
      </c>
      <c r="H30" s="48">
        <v>2028</v>
      </c>
      <c r="I30" s="48">
        <v>2029</v>
      </c>
    </row>
    <row r="31" spans="1:9" x14ac:dyDescent="0.3">
      <c r="A31" s="6" t="s">
        <v>155</v>
      </c>
      <c r="B31" s="49" t="s">
        <v>151</v>
      </c>
      <c r="C31" s="34">
        <v>0</v>
      </c>
      <c r="D31" s="34">
        <v>0</v>
      </c>
      <c r="E31" s="34">
        <v>0</v>
      </c>
      <c r="F31" s="34">
        <v>0</v>
      </c>
      <c r="G31" s="34">
        <v>0</v>
      </c>
      <c r="H31" s="34">
        <v>0</v>
      </c>
      <c r="I31" s="34">
        <v>0</v>
      </c>
    </row>
    <row r="32" spans="1:9" x14ac:dyDescent="0.3">
      <c r="A32" s="6"/>
      <c r="B32" s="49" t="s">
        <v>152</v>
      </c>
      <c r="C32" s="72">
        <v>11167732</v>
      </c>
      <c r="D32" s="72">
        <v>2047983.3199999996</v>
      </c>
      <c r="E32" s="34">
        <v>0</v>
      </c>
      <c r="F32" s="34">
        <v>0</v>
      </c>
      <c r="G32" s="34">
        <v>0</v>
      </c>
      <c r="H32" s="34">
        <v>0</v>
      </c>
      <c r="I32" s="34">
        <v>0</v>
      </c>
    </row>
    <row r="33" spans="1:9" x14ac:dyDescent="0.3">
      <c r="A33" s="6" t="s">
        <v>156</v>
      </c>
      <c r="B33" s="50" t="s">
        <v>151</v>
      </c>
      <c r="C33" s="34">
        <v>0</v>
      </c>
      <c r="D33" s="34">
        <v>0</v>
      </c>
      <c r="E33" s="34">
        <v>0</v>
      </c>
      <c r="F33" s="34">
        <v>0</v>
      </c>
      <c r="G33" s="34">
        <v>0</v>
      </c>
      <c r="H33" s="34">
        <v>0</v>
      </c>
      <c r="I33" s="34">
        <v>0</v>
      </c>
    </row>
    <row r="34" spans="1:9" x14ac:dyDescent="0.3">
      <c r="A34" s="6"/>
      <c r="B34" s="50" t="s">
        <v>152</v>
      </c>
      <c r="C34" s="34">
        <v>0</v>
      </c>
      <c r="D34" s="34">
        <v>0</v>
      </c>
      <c r="E34" s="34">
        <v>0</v>
      </c>
      <c r="F34" s="34">
        <v>0</v>
      </c>
      <c r="G34" s="34">
        <v>0</v>
      </c>
      <c r="H34" s="34">
        <v>0</v>
      </c>
      <c r="I34" s="34">
        <v>0</v>
      </c>
    </row>
    <row r="35" spans="1:9" x14ac:dyDescent="0.3">
      <c r="A35" s="6" t="s">
        <v>157</v>
      </c>
      <c r="B35" s="51" t="s">
        <v>151</v>
      </c>
      <c r="C35" s="34">
        <v>0</v>
      </c>
      <c r="D35" s="34">
        <v>0</v>
      </c>
      <c r="E35" s="34">
        <v>0</v>
      </c>
      <c r="F35" s="34">
        <v>0</v>
      </c>
      <c r="G35" s="34">
        <v>0</v>
      </c>
      <c r="H35" s="34">
        <v>0</v>
      </c>
      <c r="I35" s="34">
        <v>0</v>
      </c>
    </row>
    <row r="36" spans="1:9" x14ac:dyDescent="0.3">
      <c r="A36" s="6"/>
      <c r="B36" s="51" t="s">
        <v>152</v>
      </c>
      <c r="C36" s="34">
        <v>0</v>
      </c>
      <c r="D36" s="34">
        <v>0</v>
      </c>
      <c r="E36" s="34">
        <v>0</v>
      </c>
      <c r="F36" s="34">
        <v>0</v>
      </c>
      <c r="G36" s="34">
        <v>0</v>
      </c>
      <c r="H36" s="34">
        <v>0</v>
      </c>
      <c r="I36" s="34">
        <v>0</v>
      </c>
    </row>
    <row r="37" spans="1:9" x14ac:dyDescent="0.3">
      <c r="A37" s="73" t="s">
        <v>158</v>
      </c>
      <c r="B37" s="73"/>
      <c r="C37" s="74">
        <f>SUM(C31:C36)</f>
        <v>11167732</v>
      </c>
      <c r="D37" s="74">
        <f t="shared" ref="D37:I37" si="5">SUM(D31:D36)</f>
        <v>2047983.3199999996</v>
      </c>
      <c r="E37" s="74">
        <f t="shared" si="5"/>
        <v>0</v>
      </c>
      <c r="F37" s="74">
        <f t="shared" si="5"/>
        <v>0</v>
      </c>
      <c r="G37" s="74">
        <f t="shared" si="5"/>
        <v>0</v>
      </c>
      <c r="H37" s="74">
        <f t="shared" si="5"/>
        <v>0</v>
      </c>
      <c r="I37" s="74">
        <f t="shared" si="5"/>
        <v>0</v>
      </c>
    </row>
    <row r="38" spans="1:9" x14ac:dyDescent="0.3">
      <c r="C38" s="48">
        <v>2023</v>
      </c>
      <c r="D38" s="48">
        <v>2024</v>
      </c>
      <c r="E38" s="48">
        <v>2025</v>
      </c>
      <c r="F38" s="48">
        <v>2026</v>
      </c>
      <c r="G38" s="48">
        <v>2027</v>
      </c>
      <c r="H38" s="48">
        <v>2028</v>
      </c>
      <c r="I38" s="48">
        <v>2029</v>
      </c>
    </row>
    <row r="39" spans="1:9" x14ac:dyDescent="0.3">
      <c r="A39" s="6" t="s">
        <v>159</v>
      </c>
      <c r="B39" s="49" t="s">
        <v>151</v>
      </c>
      <c r="C39" s="72">
        <v>0</v>
      </c>
      <c r="D39" s="72">
        <v>0</v>
      </c>
      <c r="E39" s="72">
        <v>126281481.15000001</v>
      </c>
      <c r="F39" s="72">
        <v>126281481.15000001</v>
      </c>
      <c r="G39" s="72">
        <v>126281481.15000001</v>
      </c>
      <c r="H39" s="72">
        <v>126281481.15000001</v>
      </c>
      <c r="I39" s="72">
        <v>126281481.15000001</v>
      </c>
    </row>
    <row r="40" spans="1:9" x14ac:dyDescent="0.3">
      <c r="A40" s="6"/>
      <c r="B40" s="49" t="s">
        <v>152</v>
      </c>
      <c r="C40" s="72">
        <v>0</v>
      </c>
      <c r="D40" s="72">
        <v>0</v>
      </c>
      <c r="E40" s="72">
        <v>66108714.400000006</v>
      </c>
      <c r="F40" s="72">
        <v>66108714.400000006</v>
      </c>
      <c r="G40" s="72">
        <v>66108714.400000006</v>
      </c>
      <c r="H40" s="72">
        <v>66108714.400000006</v>
      </c>
      <c r="I40" s="72">
        <v>66108714.400000006</v>
      </c>
    </row>
    <row r="41" spans="1:9" x14ac:dyDescent="0.3">
      <c r="A41" s="6" t="s">
        <v>160</v>
      </c>
      <c r="B41" s="50" t="s">
        <v>151</v>
      </c>
      <c r="C41" s="75">
        <v>0</v>
      </c>
      <c r="D41" s="75">
        <v>0</v>
      </c>
      <c r="E41" s="75">
        <v>881250</v>
      </c>
      <c r="F41" s="75">
        <v>881250</v>
      </c>
      <c r="G41" s="75">
        <v>881250</v>
      </c>
      <c r="H41" s="75">
        <v>881250</v>
      </c>
      <c r="I41" s="75">
        <v>881250</v>
      </c>
    </row>
    <row r="42" spans="1:9" x14ac:dyDescent="0.3">
      <c r="A42" s="6"/>
      <c r="B42" s="50" t="s">
        <v>152</v>
      </c>
      <c r="C42" s="34">
        <v>0</v>
      </c>
      <c r="D42" s="34">
        <v>0</v>
      </c>
      <c r="E42" s="72">
        <v>20720219.800000001</v>
      </c>
      <c r="F42" s="72">
        <v>20720219.800000001</v>
      </c>
      <c r="G42" s="72">
        <v>20720219.800000001</v>
      </c>
      <c r="H42" s="72">
        <v>20720219.800000001</v>
      </c>
      <c r="I42" s="72">
        <v>20720219.800000001</v>
      </c>
    </row>
    <row r="43" spans="1:9" x14ac:dyDescent="0.3">
      <c r="A43" s="6" t="s">
        <v>161</v>
      </c>
      <c r="B43" s="51" t="s">
        <v>151</v>
      </c>
      <c r="C43" s="6">
        <v>0</v>
      </c>
      <c r="D43" s="6">
        <v>0</v>
      </c>
      <c r="E43" s="75">
        <v>0</v>
      </c>
      <c r="F43" s="75">
        <v>0</v>
      </c>
      <c r="G43" s="75">
        <v>0</v>
      </c>
      <c r="H43" s="75">
        <v>0</v>
      </c>
      <c r="I43" s="75">
        <v>0</v>
      </c>
    </row>
    <row r="44" spans="1:9" x14ac:dyDescent="0.3">
      <c r="A44" s="6"/>
      <c r="B44" s="51" t="s">
        <v>152</v>
      </c>
      <c r="C44" s="34">
        <v>0</v>
      </c>
      <c r="D44" s="34">
        <v>0</v>
      </c>
      <c r="E44" s="72">
        <v>29819501.599999998</v>
      </c>
      <c r="F44" s="72">
        <v>29819501.599999998</v>
      </c>
      <c r="G44" s="72">
        <v>29819501.599999998</v>
      </c>
      <c r="H44" s="72">
        <v>29819501.599999998</v>
      </c>
      <c r="I44" s="72">
        <v>29819501.599999998</v>
      </c>
    </row>
    <row r="45" spans="1:9" x14ac:dyDescent="0.3">
      <c r="A45" s="73" t="s">
        <v>162</v>
      </c>
      <c r="B45" s="73"/>
      <c r="C45" s="74">
        <f>SUM(C39:C44)</f>
        <v>0</v>
      </c>
      <c r="D45" s="74">
        <f t="shared" ref="D45:I45" si="6">SUM(D39:D44)</f>
        <v>0</v>
      </c>
      <c r="E45" s="74">
        <f t="shared" si="6"/>
        <v>243811166.95000002</v>
      </c>
      <c r="F45" s="74">
        <f t="shared" si="6"/>
        <v>243811166.95000002</v>
      </c>
      <c r="G45" s="74">
        <f t="shared" si="6"/>
        <v>243811166.95000002</v>
      </c>
      <c r="H45" s="74">
        <f t="shared" si="6"/>
        <v>243811166.95000002</v>
      </c>
      <c r="I45" s="74">
        <f t="shared" si="6"/>
        <v>243811166.95000002</v>
      </c>
    </row>
    <row r="46" spans="1:9" x14ac:dyDescent="0.3">
      <c r="C46" s="48">
        <v>2023</v>
      </c>
      <c r="D46" s="48">
        <v>2024</v>
      </c>
      <c r="E46" s="48">
        <v>2025</v>
      </c>
      <c r="F46" s="48">
        <v>2026</v>
      </c>
      <c r="G46" s="48">
        <v>2027</v>
      </c>
      <c r="H46" s="48">
        <v>2028</v>
      </c>
      <c r="I46" s="48">
        <v>2029</v>
      </c>
    </row>
    <row r="47" spans="1:9" x14ac:dyDescent="0.3">
      <c r="A47" s="6" t="s">
        <v>163</v>
      </c>
      <c r="B47" s="49" t="s">
        <v>151</v>
      </c>
      <c r="C47" s="34"/>
      <c r="D47" s="34"/>
      <c r="E47" s="34"/>
      <c r="F47" s="34"/>
      <c r="G47" s="34"/>
      <c r="H47" s="34"/>
      <c r="I47" s="34"/>
    </row>
    <row r="48" spans="1:9" x14ac:dyDescent="0.3">
      <c r="A48" s="6"/>
      <c r="B48" s="49" t="s">
        <v>152</v>
      </c>
      <c r="C48" s="34"/>
      <c r="D48" s="34"/>
      <c r="E48" s="34"/>
      <c r="F48" s="34"/>
      <c r="G48" s="34"/>
      <c r="H48" s="34"/>
      <c r="I48" s="34"/>
    </row>
    <row r="49" spans="1:9" x14ac:dyDescent="0.3">
      <c r="A49" s="6" t="s">
        <v>164</v>
      </c>
      <c r="B49" s="50" t="s">
        <v>151</v>
      </c>
      <c r="C49" s="72">
        <v>7700000</v>
      </c>
      <c r="D49" s="72">
        <v>3953893</v>
      </c>
      <c r="E49" s="34">
        <v>0</v>
      </c>
      <c r="F49" s="34">
        <v>0</v>
      </c>
      <c r="G49" s="34">
        <v>0</v>
      </c>
      <c r="H49" s="34">
        <v>0</v>
      </c>
      <c r="I49" s="34">
        <v>0</v>
      </c>
    </row>
    <row r="50" spans="1:9" x14ac:dyDescent="0.3">
      <c r="A50" s="6"/>
      <c r="B50" s="50" t="s">
        <v>152</v>
      </c>
      <c r="C50" s="72">
        <v>1500000</v>
      </c>
      <c r="D50" s="72">
        <v>851465</v>
      </c>
      <c r="E50" s="34">
        <v>0</v>
      </c>
      <c r="F50" s="34">
        <v>0</v>
      </c>
      <c r="G50" s="34">
        <v>0</v>
      </c>
      <c r="H50" s="34">
        <v>0</v>
      </c>
      <c r="I50" s="34">
        <v>0</v>
      </c>
    </row>
    <row r="51" spans="1:9" x14ac:dyDescent="0.3">
      <c r="A51" s="6" t="s">
        <v>165</v>
      </c>
      <c r="B51" s="51" t="s">
        <v>151</v>
      </c>
      <c r="C51" s="6"/>
      <c r="D51" s="6"/>
      <c r="E51" s="6"/>
      <c r="F51" s="6"/>
      <c r="G51" s="6"/>
      <c r="H51" s="6"/>
      <c r="I51" s="6"/>
    </row>
    <row r="52" spans="1:9" x14ac:dyDescent="0.3">
      <c r="A52" s="6"/>
      <c r="B52" s="51" t="s">
        <v>152</v>
      </c>
      <c r="C52" s="34"/>
      <c r="D52" s="34"/>
      <c r="E52" s="34"/>
      <c r="F52" s="34"/>
      <c r="G52" s="34"/>
      <c r="H52" s="34"/>
      <c r="I52" s="34"/>
    </row>
    <row r="53" spans="1:9" x14ac:dyDescent="0.3">
      <c r="A53" s="73" t="s">
        <v>166</v>
      </c>
      <c r="B53" s="73"/>
      <c r="C53" s="74">
        <f>SUM(C47:C52)</f>
        <v>9200000</v>
      </c>
      <c r="D53" s="74">
        <f t="shared" ref="D53:I53" si="7">SUM(D47:D52)</f>
        <v>4805358</v>
      </c>
      <c r="E53" s="74">
        <f t="shared" si="7"/>
        <v>0</v>
      </c>
      <c r="F53" s="74">
        <f t="shared" si="7"/>
        <v>0</v>
      </c>
      <c r="G53" s="74">
        <f t="shared" si="7"/>
        <v>0</v>
      </c>
      <c r="H53" s="74">
        <f t="shared" si="7"/>
        <v>0</v>
      </c>
      <c r="I53" s="74">
        <f t="shared" si="7"/>
        <v>0</v>
      </c>
    </row>
    <row r="54" spans="1:9" x14ac:dyDescent="0.3">
      <c r="C54" s="48">
        <v>2023</v>
      </c>
      <c r="D54" s="48">
        <v>2024</v>
      </c>
      <c r="E54" s="48">
        <v>2025</v>
      </c>
      <c r="F54" s="48">
        <v>2026</v>
      </c>
      <c r="G54" s="48">
        <v>2027</v>
      </c>
      <c r="H54" s="48">
        <v>2028</v>
      </c>
      <c r="I54" s="48">
        <v>2029</v>
      </c>
    </row>
    <row r="55" spans="1:9" x14ac:dyDescent="0.3">
      <c r="A55" s="6" t="s">
        <v>167</v>
      </c>
      <c r="B55" s="49" t="s">
        <v>151</v>
      </c>
      <c r="C55" s="34"/>
      <c r="D55" s="34"/>
      <c r="E55" s="34"/>
      <c r="F55" s="34"/>
      <c r="G55" s="34"/>
      <c r="H55" s="34"/>
      <c r="I55" s="34"/>
    </row>
    <row r="56" spans="1:9" x14ac:dyDescent="0.3">
      <c r="A56" s="6"/>
      <c r="B56" s="49" t="s">
        <v>152</v>
      </c>
      <c r="C56" s="34"/>
      <c r="D56" s="34"/>
      <c r="E56" s="34"/>
      <c r="F56" s="34"/>
      <c r="G56" s="34"/>
      <c r="H56" s="34"/>
      <c r="I56" s="34"/>
    </row>
    <row r="57" spans="1:9" x14ac:dyDescent="0.3">
      <c r="A57" s="6" t="s">
        <v>168</v>
      </c>
      <c r="B57" s="50" t="s">
        <v>151</v>
      </c>
      <c r="C57" s="72">
        <v>1031000</v>
      </c>
      <c r="D57" s="72">
        <v>531035.38500000001</v>
      </c>
      <c r="E57" s="72">
        <v>0</v>
      </c>
      <c r="F57" s="72">
        <v>0</v>
      </c>
      <c r="G57" s="72">
        <v>0</v>
      </c>
      <c r="H57" s="72">
        <v>0</v>
      </c>
      <c r="I57" s="72">
        <v>0</v>
      </c>
    </row>
    <row r="58" spans="1:9" x14ac:dyDescent="0.3">
      <c r="A58" s="6"/>
      <c r="B58" s="50" t="s">
        <v>152</v>
      </c>
      <c r="C58" s="72">
        <v>225000</v>
      </c>
      <c r="D58" s="72">
        <v>127719.745</v>
      </c>
      <c r="E58" s="72">
        <v>0</v>
      </c>
      <c r="F58" s="72">
        <v>0</v>
      </c>
      <c r="G58" s="72">
        <v>0</v>
      </c>
      <c r="H58" s="72">
        <v>0</v>
      </c>
      <c r="I58" s="72">
        <v>0</v>
      </c>
    </row>
    <row r="59" spans="1:9" x14ac:dyDescent="0.3">
      <c r="A59" s="6" t="s">
        <v>169</v>
      </c>
      <c r="B59" s="51" t="s">
        <v>151</v>
      </c>
      <c r="C59" s="6"/>
      <c r="D59" s="6"/>
      <c r="E59" s="6"/>
      <c r="F59" s="6"/>
      <c r="G59" s="6"/>
      <c r="H59" s="6"/>
      <c r="I59" s="6"/>
    </row>
    <row r="60" spans="1:9" x14ac:dyDescent="0.3">
      <c r="A60" s="6"/>
      <c r="B60" s="51" t="s">
        <v>152</v>
      </c>
      <c r="C60" s="34"/>
      <c r="D60" s="34"/>
      <c r="E60" s="34"/>
      <c r="F60" s="34"/>
      <c r="G60" s="34"/>
      <c r="H60" s="34"/>
      <c r="I60" s="34"/>
    </row>
    <row r="61" spans="1:9" x14ac:dyDescent="0.3">
      <c r="A61" s="73" t="s">
        <v>170</v>
      </c>
      <c r="B61" s="73"/>
      <c r="C61" s="74">
        <f>SUM(C55:C60)</f>
        <v>1256000</v>
      </c>
      <c r="D61" s="74">
        <f t="shared" ref="D61:I61" si="8">SUM(D55:D60)</f>
        <v>658755.13</v>
      </c>
      <c r="E61" s="74">
        <f t="shared" si="8"/>
        <v>0</v>
      </c>
      <c r="F61" s="74">
        <f t="shared" si="8"/>
        <v>0</v>
      </c>
      <c r="G61" s="74">
        <f t="shared" si="8"/>
        <v>0</v>
      </c>
      <c r="H61" s="74">
        <f t="shared" si="8"/>
        <v>0</v>
      </c>
      <c r="I61" s="74">
        <f t="shared" si="8"/>
        <v>0</v>
      </c>
    </row>
    <row r="62" spans="1:9" x14ac:dyDescent="0.3">
      <c r="C62" s="48">
        <v>2023</v>
      </c>
      <c r="D62" s="48">
        <v>2024</v>
      </c>
      <c r="E62" s="48">
        <v>2025</v>
      </c>
      <c r="F62" s="48">
        <v>2026</v>
      </c>
      <c r="G62" s="48">
        <v>2027</v>
      </c>
      <c r="H62" s="48">
        <v>2028</v>
      </c>
      <c r="I62" s="48">
        <v>2029</v>
      </c>
    </row>
    <row r="63" spans="1:9" x14ac:dyDescent="0.3">
      <c r="A63" s="6" t="s">
        <v>171</v>
      </c>
      <c r="B63" s="49" t="s">
        <v>151</v>
      </c>
      <c r="C63" s="34"/>
      <c r="D63" s="34"/>
      <c r="E63" s="34"/>
      <c r="F63" s="34"/>
      <c r="G63" s="34"/>
      <c r="H63" s="34"/>
      <c r="I63" s="34"/>
    </row>
    <row r="64" spans="1:9" x14ac:dyDescent="0.3">
      <c r="A64" s="6"/>
      <c r="B64" s="49" t="s">
        <v>152</v>
      </c>
      <c r="C64" s="34"/>
      <c r="D64" s="34"/>
      <c r="E64" s="34"/>
      <c r="F64" s="34"/>
      <c r="G64" s="34"/>
      <c r="H64" s="34"/>
      <c r="I64" s="34"/>
    </row>
    <row r="65" spans="1:9" x14ac:dyDescent="0.3">
      <c r="A65" s="6" t="s">
        <v>172</v>
      </c>
      <c r="B65" s="50" t="s">
        <v>151</v>
      </c>
      <c r="C65" s="72">
        <v>124000</v>
      </c>
      <c r="D65" s="72">
        <v>62048.56</v>
      </c>
      <c r="E65" s="34">
        <v>0</v>
      </c>
      <c r="F65" s="34">
        <v>0</v>
      </c>
      <c r="G65" s="34">
        <v>0</v>
      </c>
      <c r="H65" s="34">
        <v>0</v>
      </c>
      <c r="I65" s="34">
        <v>0</v>
      </c>
    </row>
    <row r="66" spans="1:9" x14ac:dyDescent="0.3">
      <c r="A66" s="6"/>
      <c r="B66" s="50" t="s">
        <v>152</v>
      </c>
      <c r="C66" s="34"/>
      <c r="D66" s="34"/>
      <c r="E66" s="34"/>
      <c r="F66" s="34"/>
      <c r="G66" s="34"/>
      <c r="H66" s="34"/>
      <c r="I66" s="34"/>
    </row>
    <row r="67" spans="1:9" x14ac:dyDescent="0.3">
      <c r="A67" s="6" t="s">
        <v>173</v>
      </c>
      <c r="B67" s="51" t="s">
        <v>151</v>
      </c>
      <c r="C67" s="6"/>
      <c r="D67" s="6"/>
      <c r="E67" s="6"/>
      <c r="F67" s="6"/>
      <c r="G67" s="6"/>
      <c r="H67" s="6"/>
      <c r="I67" s="6"/>
    </row>
    <row r="68" spans="1:9" x14ac:dyDescent="0.3">
      <c r="A68" s="6"/>
      <c r="B68" s="51" t="s">
        <v>152</v>
      </c>
      <c r="C68" s="34"/>
      <c r="D68" s="34"/>
      <c r="E68" s="34"/>
      <c r="F68" s="34"/>
      <c r="G68" s="34"/>
      <c r="H68" s="34"/>
      <c r="I68" s="34"/>
    </row>
    <row r="69" spans="1:9" x14ac:dyDescent="0.3">
      <c r="A69" s="73" t="s">
        <v>174</v>
      </c>
      <c r="B69" s="73"/>
      <c r="C69" s="74">
        <f>SUM(C63:C68)</f>
        <v>124000</v>
      </c>
      <c r="D69" s="74">
        <f t="shared" ref="D69:I69" si="9">SUM(D63:D68)</f>
        <v>62048.56</v>
      </c>
      <c r="E69" s="74">
        <f t="shared" si="9"/>
        <v>0</v>
      </c>
      <c r="F69" s="74">
        <f t="shared" si="9"/>
        <v>0</v>
      </c>
      <c r="G69" s="74">
        <f t="shared" si="9"/>
        <v>0</v>
      </c>
      <c r="H69" s="74">
        <f t="shared" si="9"/>
        <v>0</v>
      </c>
      <c r="I69" s="74">
        <f t="shared" si="9"/>
        <v>0</v>
      </c>
    </row>
    <row r="71" spans="1:9" x14ac:dyDescent="0.3">
      <c r="C71" s="27">
        <f>C28+C37+C45+C53+C61+C69</f>
        <v>43752900</v>
      </c>
      <c r="D71" s="27">
        <f t="shared" ref="D71:I71" si="10">D28+D37+D45+D53+D61+D69</f>
        <v>37575931.010000005</v>
      </c>
      <c r="E71" s="27">
        <f t="shared" si="10"/>
        <v>273836166.95000005</v>
      </c>
      <c r="F71" s="27">
        <f t="shared" si="10"/>
        <v>273831166.95000005</v>
      </c>
      <c r="G71" s="27">
        <f t="shared" si="10"/>
        <v>273816166.95000005</v>
      </c>
      <c r="H71" s="27">
        <f t="shared" si="10"/>
        <v>244311166.95000002</v>
      </c>
      <c r="I71" s="27">
        <f t="shared" si="10"/>
        <v>244311166.95000002</v>
      </c>
    </row>
  </sheetData>
  <mergeCells count="1">
    <mergeCell ref="A1:M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3</vt:i4>
      </vt:variant>
      <vt:variant>
        <vt:lpstr>Zone denumite</vt:lpstr>
      </vt:variant>
      <vt:variant>
        <vt:i4>2</vt:i4>
      </vt:variant>
    </vt:vector>
  </HeadingPairs>
  <TitlesOfParts>
    <vt:vector size="5" baseType="lpstr">
      <vt:lpstr>plan de investitii</vt:lpstr>
      <vt:lpstr>investitii in derulare</vt:lpstr>
      <vt:lpstr>Investitii total</vt:lpstr>
      <vt:lpstr>'investitii in derulare'!Zona_de_imprimat</vt:lpstr>
      <vt:lpstr>'plan de investitii'!Zona_de_imprimat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Hp3</dc:creator>
  <cp:lastModifiedBy>Marcel</cp:lastModifiedBy>
  <dcterms:created xsi:type="dcterms:W3CDTF">2023-06-14T12:13:59Z</dcterms:created>
  <dcterms:modified xsi:type="dcterms:W3CDTF">2023-06-21T11:27:57Z</dcterms:modified>
</cp:coreProperties>
</file>